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User\Desktop\Кинопарк\!!!!!!!ЭКСПЛУАТАЦИЯ 2026\уборка территории\"/>
    </mc:Choice>
  </mc:AlternateContent>
  <xr:revisionPtr revIDLastSave="0" documentId="13_ncr:1_{B1E5D2B1-12B4-447F-8EF4-B59FEF08D954}" xr6:coauthVersionLast="47" xr6:coauthVersionMax="47" xr10:uidLastSave="{00000000-0000-0000-0000-000000000000}"/>
  <bookViews>
    <workbookView xWindow="-38520" yWindow="-120" windowWidth="38640" windowHeight="21120" xr2:uid="{34E6DE81-E8A4-492B-8A3F-0D2094E62351}"/>
  </bookViews>
  <sheets>
    <sheet name="Смета СН-2012 по гл. 1-5,7" sheetId="7" r:id="rId1"/>
    <sheet name="Ведомость объемов работ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'Ведомость объемов работ'!$17:$17</definedName>
    <definedName name="_xlnm.Print_Titles" localSheetId="0">'Смета СН-2012 по гл. 1-5,7'!$31:$31</definedName>
    <definedName name="_xlnm.Print_Area" localSheetId="1">'Ведомость объемов работ'!$A$1:$F$79</definedName>
    <definedName name="_xlnm.Print_Area" localSheetId="0">'Смета СН-2012 по гл. 1-5,7'!$A$1:$K$375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67" i="7" l="1"/>
  <c r="F281" i="1"/>
  <c r="F248" i="1"/>
  <c r="I361" i="7" s="1"/>
  <c r="C366" i="7"/>
  <c r="D77" i="8"/>
  <c r="D75" i="8"/>
  <c r="E72" i="8"/>
  <c r="C72" i="8"/>
  <c r="B72" i="8"/>
  <c r="E71" i="8"/>
  <c r="C71" i="8"/>
  <c r="B71" i="8"/>
  <c r="E70" i="8"/>
  <c r="C70" i="8"/>
  <c r="B70" i="8"/>
  <c r="E69" i="8"/>
  <c r="C69" i="8"/>
  <c r="B69" i="8"/>
  <c r="E68" i="8"/>
  <c r="C68" i="8"/>
  <c r="B68" i="8"/>
  <c r="E67" i="8"/>
  <c r="C67" i="8"/>
  <c r="B67" i="8"/>
  <c r="E66" i="8"/>
  <c r="C66" i="8"/>
  <c r="B66" i="8"/>
  <c r="E65" i="8"/>
  <c r="C65" i="8"/>
  <c r="B65" i="8"/>
  <c r="E64" i="8"/>
  <c r="C64" i="8"/>
  <c r="B64" i="8"/>
  <c r="E63" i="8"/>
  <c r="C63" i="8"/>
  <c r="B63" i="8"/>
  <c r="E62" i="8"/>
  <c r="C62" i="8"/>
  <c r="B62" i="8"/>
  <c r="E61" i="8"/>
  <c r="C61" i="8"/>
  <c r="B61" i="8"/>
  <c r="E60" i="8"/>
  <c r="C60" i="8"/>
  <c r="B60" i="8"/>
  <c r="E59" i="8"/>
  <c r="C59" i="8"/>
  <c r="B59" i="8"/>
  <c r="E58" i="8"/>
  <c r="C58" i="8"/>
  <c r="B58" i="8"/>
  <c r="E57" i="8"/>
  <c r="C57" i="8"/>
  <c r="B57" i="8"/>
  <c r="E56" i="8"/>
  <c r="C56" i="8"/>
  <c r="B56" i="8"/>
  <c r="E55" i="8"/>
  <c r="C55" i="8"/>
  <c r="B55" i="8"/>
  <c r="E54" i="8"/>
  <c r="C54" i="8"/>
  <c r="B54" i="8"/>
  <c r="A53" i="8"/>
  <c r="E52" i="8"/>
  <c r="C52" i="8"/>
  <c r="B52" i="8"/>
  <c r="E51" i="8"/>
  <c r="C51" i="8"/>
  <c r="B51" i="8"/>
  <c r="E50" i="8"/>
  <c r="C50" i="8"/>
  <c r="B50" i="8"/>
  <c r="E49" i="8"/>
  <c r="C49" i="8"/>
  <c r="B49" i="8"/>
  <c r="E48" i="8"/>
  <c r="C48" i="8"/>
  <c r="B48" i="8"/>
  <c r="E47" i="8"/>
  <c r="C47" i="8"/>
  <c r="B47" i="8"/>
  <c r="E46" i="8"/>
  <c r="C46" i="8"/>
  <c r="B46" i="8"/>
  <c r="E45" i="8"/>
  <c r="C45" i="8"/>
  <c r="B45" i="8"/>
  <c r="E44" i="8"/>
  <c r="C44" i="8"/>
  <c r="B44" i="8"/>
  <c r="E43" i="8"/>
  <c r="C43" i="8"/>
  <c r="B43" i="8"/>
  <c r="E42" i="8"/>
  <c r="C42" i="8"/>
  <c r="B42" i="8"/>
  <c r="E41" i="8"/>
  <c r="C41" i="8"/>
  <c r="B41" i="8"/>
  <c r="E40" i="8"/>
  <c r="C40" i="8"/>
  <c r="B40" i="8"/>
  <c r="A39" i="8"/>
  <c r="E38" i="8"/>
  <c r="C38" i="8"/>
  <c r="B38" i="8"/>
  <c r="E37" i="8"/>
  <c r="C37" i="8"/>
  <c r="B37" i="8"/>
  <c r="E36" i="8"/>
  <c r="C36" i="8"/>
  <c r="B36" i="8"/>
  <c r="E35" i="8"/>
  <c r="C35" i="8"/>
  <c r="B35" i="8"/>
  <c r="E34" i="8"/>
  <c r="C34" i="8"/>
  <c r="B34" i="8"/>
  <c r="E33" i="8"/>
  <c r="C33" i="8"/>
  <c r="B33" i="8"/>
  <c r="E32" i="8"/>
  <c r="C32" i="8"/>
  <c r="B32" i="8"/>
  <c r="E31" i="8"/>
  <c r="C31" i="8"/>
  <c r="B31" i="8"/>
  <c r="E30" i="8"/>
  <c r="C30" i="8"/>
  <c r="B30" i="8"/>
  <c r="E29" i="8"/>
  <c r="C29" i="8"/>
  <c r="B29" i="8"/>
  <c r="E28" i="8"/>
  <c r="C28" i="8"/>
  <c r="B28" i="8"/>
  <c r="E27" i="8"/>
  <c r="C27" i="8"/>
  <c r="B27" i="8"/>
  <c r="E26" i="8"/>
  <c r="C26" i="8"/>
  <c r="B26" i="8"/>
  <c r="E25" i="8"/>
  <c r="C25" i="8"/>
  <c r="B25" i="8"/>
  <c r="E24" i="8"/>
  <c r="C24" i="8"/>
  <c r="B24" i="8"/>
  <c r="E23" i="8"/>
  <c r="C23" i="8"/>
  <c r="B23" i="8"/>
  <c r="E22" i="8"/>
  <c r="C22" i="8"/>
  <c r="B22" i="8"/>
  <c r="E21" i="8"/>
  <c r="C21" i="8"/>
  <c r="B21" i="8"/>
  <c r="E20" i="8"/>
  <c r="C20" i="8"/>
  <c r="B20" i="8"/>
  <c r="A19" i="8"/>
  <c r="A18" i="8"/>
  <c r="B14" i="8"/>
  <c r="B13" i="8"/>
  <c r="B12" i="8"/>
  <c r="A1" i="8"/>
  <c r="H373" i="7"/>
  <c r="H370" i="7"/>
  <c r="C373" i="7"/>
  <c r="C370" i="7"/>
  <c r="C367" i="7"/>
  <c r="I366" i="7"/>
  <c r="I365" i="7"/>
  <c r="C365" i="7"/>
  <c r="I26" i="7"/>
  <c r="I25" i="7"/>
  <c r="I24" i="7"/>
  <c r="I23" i="7"/>
  <c r="I22" i="7"/>
  <c r="I21" i="7"/>
  <c r="A364" i="7"/>
  <c r="I362" i="7"/>
  <c r="C362" i="7"/>
  <c r="C361" i="7"/>
  <c r="A359" i="7"/>
  <c r="A356" i="7"/>
  <c r="K350" i="7"/>
  <c r="H350" i="7"/>
  <c r="G350" i="7"/>
  <c r="E350" i="7"/>
  <c r="J349" i="7"/>
  <c r="E349" i="7"/>
  <c r="J348" i="7"/>
  <c r="E348" i="7"/>
  <c r="J347" i="7"/>
  <c r="E347" i="7"/>
  <c r="J346" i="7"/>
  <c r="I346" i="7"/>
  <c r="H346" i="7"/>
  <c r="F346" i="7"/>
  <c r="V346" i="7"/>
  <c r="T346" i="7"/>
  <c r="R346" i="7"/>
  <c r="U346" i="7"/>
  <c r="S346" i="7"/>
  <c r="Q346" i="7"/>
  <c r="E346" i="7"/>
  <c r="D346" i="7"/>
  <c r="C346" i="7"/>
  <c r="B346" i="7"/>
  <c r="J345" i="7"/>
  <c r="I345" i="7"/>
  <c r="H345" i="7"/>
  <c r="G345" i="7"/>
  <c r="F345" i="7"/>
  <c r="J344" i="7"/>
  <c r="I344" i="7"/>
  <c r="H344" i="7"/>
  <c r="G344" i="7"/>
  <c r="F344" i="7"/>
  <c r="J343" i="7"/>
  <c r="I351" i="7" s="1"/>
  <c r="I343" i="7"/>
  <c r="H343" i="7"/>
  <c r="G343" i="7"/>
  <c r="F343" i="7"/>
  <c r="J342" i="7"/>
  <c r="I342" i="7"/>
  <c r="H342" i="7"/>
  <c r="G342" i="7"/>
  <c r="F342" i="7"/>
  <c r="V341" i="7"/>
  <c r="T341" i="7"/>
  <c r="R341" i="7"/>
  <c r="U341" i="7"/>
  <c r="S341" i="7"/>
  <c r="Q341" i="7"/>
  <c r="E341" i="7"/>
  <c r="D341" i="7"/>
  <c r="C341" i="7"/>
  <c r="B341" i="7"/>
  <c r="I340" i="7"/>
  <c r="K340" i="7" s="1"/>
  <c r="K339" i="7"/>
  <c r="H339" i="7"/>
  <c r="G339" i="7"/>
  <c r="E339" i="7"/>
  <c r="E338" i="7"/>
  <c r="E337" i="7"/>
  <c r="J336" i="7"/>
  <c r="I336" i="7"/>
  <c r="H336" i="7"/>
  <c r="G336" i="7"/>
  <c r="F336" i="7"/>
  <c r="V335" i="7"/>
  <c r="T335" i="7"/>
  <c r="J338" i="7" s="1"/>
  <c r="R335" i="7"/>
  <c r="J337" i="7" s="1"/>
  <c r="U335" i="7"/>
  <c r="S335" i="7"/>
  <c r="Q335" i="7"/>
  <c r="E335" i="7"/>
  <c r="D335" i="7"/>
  <c r="C335" i="7"/>
  <c r="B335" i="7"/>
  <c r="K333" i="7"/>
  <c r="H333" i="7"/>
  <c r="G333" i="7"/>
  <c r="E333" i="7"/>
  <c r="E332" i="7"/>
  <c r="E331" i="7"/>
  <c r="E330" i="7"/>
  <c r="J329" i="7"/>
  <c r="I329" i="7"/>
  <c r="H329" i="7"/>
  <c r="F329" i="7"/>
  <c r="V329" i="7"/>
  <c r="J332" i="7" s="1"/>
  <c r="T329" i="7"/>
  <c r="J331" i="7" s="1"/>
  <c r="R329" i="7"/>
  <c r="J330" i="7" s="1"/>
  <c r="U329" i="7"/>
  <c r="S329" i="7"/>
  <c r="Q329" i="7"/>
  <c r="E329" i="7"/>
  <c r="D329" i="7"/>
  <c r="C329" i="7"/>
  <c r="B329" i="7"/>
  <c r="J328" i="7"/>
  <c r="I328" i="7"/>
  <c r="H328" i="7"/>
  <c r="G328" i="7"/>
  <c r="F328" i="7"/>
  <c r="J327" i="7"/>
  <c r="I327" i="7"/>
  <c r="H327" i="7"/>
  <c r="G327" i="7"/>
  <c r="F327" i="7"/>
  <c r="J326" i="7"/>
  <c r="I326" i="7"/>
  <c r="H326" i="7"/>
  <c r="G326" i="7"/>
  <c r="F326" i="7"/>
  <c r="J325" i="7"/>
  <c r="I334" i="7" s="1"/>
  <c r="I325" i="7"/>
  <c r="H325" i="7"/>
  <c r="G325" i="7"/>
  <c r="F325" i="7"/>
  <c r="C324" i="7"/>
  <c r="V323" i="7"/>
  <c r="T323" i="7"/>
  <c r="R323" i="7"/>
  <c r="U323" i="7"/>
  <c r="S323" i="7"/>
  <c r="Q323" i="7"/>
  <c r="E323" i="7"/>
  <c r="D323" i="7"/>
  <c r="C323" i="7"/>
  <c r="B323" i="7"/>
  <c r="K321" i="7"/>
  <c r="H321" i="7"/>
  <c r="G321" i="7"/>
  <c r="E321" i="7"/>
  <c r="E320" i="7"/>
  <c r="E319" i="7"/>
  <c r="J318" i="7"/>
  <c r="I318" i="7"/>
  <c r="H318" i="7"/>
  <c r="G318" i="7"/>
  <c r="F318" i="7"/>
  <c r="C317" i="7"/>
  <c r="V316" i="7"/>
  <c r="T316" i="7"/>
  <c r="J320" i="7" s="1"/>
  <c r="R316" i="7"/>
  <c r="J319" i="7" s="1"/>
  <c r="I322" i="7" s="1"/>
  <c r="U316" i="7"/>
  <c r="S316" i="7"/>
  <c r="Q316" i="7"/>
  <c r="E316" i="7"/>
  <c r="D316" i="7"/>
  <c r="C316" i="7"/>
  <c r="B316" i="7"/>
  <c r="K314" i="7"/>
  <c r="H314" i="7"/>
  <c r="G314" i="7"/>
  <c r="E314" i="7"/>
  <c r="E313" i="7"/>
  <c r="E312" i="7"/>
  <c r="J311" i="7"/>
  <c r="I311" i="7"/>
  <c r="H311" i="7"/>
  <c r="G311" i="7"/>
  <c r="F311" i="7"/>
  <c r="C310" i="7"/>
  <c r="V309" i="7"/>
  <c r="T309" i="7"/>
  <c r="J313" i="7" s="1"/>
  <c r="R309" i="7"/>
  <c r="J312" i="7" s="1"/>
  <c r="U309" i="7"/>
  <c r="S309" i="7"/>
  <c r="Q309" i="7"/>
  <c r="E309" i="7"/>
  <c r="D309" i="7"/>
  <c r="C309" i="7"/>
  <c r="B309" i="7"/>
  <c r="K307" i="7"/>
  <c r="H307" i="7"/>
  <c r="G307" i="7"/>
  <c r="E307" i="7"/>
  <c r="E306" i="7"/>
  <c r="E305" i="7"/>
  <c r="J304" i="7"/>
  <c r="E304" i="7"/>
  <c r="J303" i="7"/>
  <c r="I303" i="7"/>
  <c r="H303" i="7"/>
  <c r="F303" i="7"/>
  <c r="V303" i="7"/>
  <c r="J306" i="7" s="1"/>
  <c r="T303" i="7"/>
  <c r="J305" i="7" s="1"/>
  <c r="R303" i="7"/>
  <c r="U303" i="7"/>
  <c r="S303" i="7"/>
  <c r="Q303" i="7"/>
  <c r="E303" i="7"/>
  <c r="D303" i="7"/>
  <c r="C303" i="7"/>
  <c r="B303" i="7"/>
  <c r="J302" i="7"/>
  <c r="I302" i="7"/>
  <c r="H302" i="7"/>
  <c r="G302" i="7"/>
  <c r="F302" i="7"/>
  <c r="J301" i="7"/>
  <c r="I301" i="7"/>
  <c r="H301" i="7"/>
  <c r="G301" i="7"/>
  <c r="F301" i="7"/>
  <c r="J300" i="7"/>
  <c r="I300" i="7"/>
  <c r="H300" i="7"/>
  <c r="G300" i="7"/>
  <c r="F300" i="7"/>
  <c r="J299" i="7"/>
  <c r="I299" i="7"/>
  <c r="H299" i="7"/>
  <c r="G299" i="7"/>
  <c r="F299" i="7"/>
  <c r="V298" i="7"/>
  <c r="T298" i="7"/>
  <c r="R298" i="7"/>
  <c r="U298" i="7"/>
  <c r="S298" i="7"/>
  <c r="Q298" i="7"/>
  <c r="E298" i="7"/>
  <c r="D298" i="7"/>
  <c r="C298" i="7"/>
  <c r="B298" i="7"/>
  <c r="I297" i="7"/>
  <c r="K296" i="7"/>
  <c r="H296" i="7"/>
  <c r="G296" i="7"/>
  <c r="E296" i="7"/>
  <c r="E295" i="7"/>
  <c r="E294" i="7"/>
  <c r="J293" i="7"/>
  <c r="I293" i="7"/>
  <c r="H293" i="7"/>
  <c r="G293" i="7"/>
  <c r="F293" i="7"/>
  <c r="J292" i="7"/>
  <c r="I292" i="7"/>
  <c r="H292" i="7"/>
  <c r="G292" i="7"/>
  <c r="F292" i="7"/>
  <c r="C291" i="7"/>
  <c r="V290" i="7"/>
  <c r="T290" i="7"/>
  <c r="J295" i="7" s="1"/>
  <c r="R290" i="7"/>
  <c r="J294" i="7" s="1"/>
  <c r="U290" i="7"/>
  <c r="S290" i="7"/>
  <c r="Q290" i="7"/>
  <c r="E290" i="7"/>
  <c r="D290" i="7"/>
  <c r="C290" i="7"/>
  <c r="B290" i="7"/>
  <c r="K288" i="7"/>
  <c r="H288" i="7"/>
  <c r="G288" i="7"/>
  <c r="E288" i="7"/>
  <c r="E287" i="7"/>
  <c r="E286" i="7"/>
  <c r="J285" i="7"/>
  <c r="I285" i="7"/>
  <c r="H285" i="7"/>
  <c r="F285" i="7"/>
  <c r="V285" i="7"/>
  <c r="T285" i="7"/>
  <c r="R285" i="7"/>
  <c r="U285" i="7"/>
  <c r="S285" i="7"/>
  <c r="Q285" i="7"/>
  <c r="E285" i="7"/>
  <c r="D285" i="7"/>
  <c r="C285" i="7"/>
  <c r="B285" i="7"/>
  <c r="J284" i="7"/>
  <c r="I284" i="7"/>
  <c r="H284" i="7"/>
  <c r="G284" i="7"/>
  <c r="F284" i="7"/>
  <c r="C283" i="7"/>
  <c r="V282" i="7"/>
  <c r="T282" i="7"/>
  <c r="J287" i="7" s="1"/>
  <c r="R282" i="7"/>
  <c r="U282" i="7"/>
  <c r="S282" i="7"/>
  <c r="Q282" i="7"/>
  <c r="E282" i="7"/>
  <c r="D282" i="7"/>
  <c r="C282" i="7"/>
  <c r="B282" i="7"/>
  <c r="K280" i="7"/>
  <c r="H280" i="7"/>
  <c r="G280" i="7"/>
  <c r="E280" i="7"/>
  <c r="E279" i="7"/>
  <c r="E278" i="7"/>
  <c r="E277" i="7"/>
  <c r="J276" i="7"/>
  <c r="I276" i="7"/>
  <c r="H276" i="7"/>
  <c r="F276" i="7"/>
  <c r="V276" i="7"/>
  <c r="J279" i="7" s="1"/>
  <c r="T276" i="7"/>
  <c r="J278" i="7" s="1"/>
  <c r="R276" i="7"/>
  <c r="J277" i="7" s="1"/>
  <c r="U276" i="7"/>
  <c r="S276" i="7"/>
  <c r="Q276" i="7"/>
  <c r="E276" i="7"/>
  <c r="D276" i="7"/>
  <c r="C276" i="7"/>
  <c r="B276" i="7"/>
  <c r="J275" i="7"/>
  <c r="I275" i="7"/>
  <c r="H275" i="7"/>
  <c r="G275" i="7"/>
  <c r="F275" i="7"/>
  <c r="J274" i="7"/>
  <c r="I274" i="7"/>
  <c r="H274" i="7"/>
  <c r="G274" i="7"/>
  <c r="F274" i="7"/>
  <c r="J273" i="7"/>
  <c r="I273" i="7"/>
  <c r="H273" i="7"/>
  <c r="G273" i="7"/>
  <c r="F273" i="7"/>
  <c r="J272" i="7"/>
  <c r="I272" i="7"/>
  <c r="H272" i="7"/>
  <c r="G272" i="7"/>
  <c r="F272" i="7"/>
  <c r="V271" i="7"/>
  <c r="T271" i="7"/>
  <c r="R271" i="7"/>
  <c r="U271" i="7"/>
  <c r="S271" i="7"/>
  <c r="Q271" i="7"/>
  <c r="E271" i="7"/>
  <c r="D271" i="7"/>
  <c r="C271" i="7"/>
  <c r="B271" i="7"/>
  <c r="K269" i="7"/>
  <c r="H269" i="7"/>
  <c r="G269" i="7"/>
  <c r="E269" i="7"/>
  <c r="J268" i="7"/>
  <c r="E268" i="7"/>
  <c r="E267" i="7"/>
  <c r="J266" i="7"/>
  <c r="E266" i="7"/>
  <c r="J265" i="7"/>
  <c r="I265" i="7"/>
  <c r="H265" i="7"/>
  <c r="G265" i="7"/>
  <c r="F265" i="7"/>
  <c r="J264" i="7"/>
  <c r="I264" i="7"/>
  <c r="H264" i="7"/>
  <c r="G264" i="7"/>
  <c r="F264" i="7"/>
  <c r="J263" i="7"/>
  <c r="I263" i="7"/>
  <c r="H263" i="7"/>
  <c r="G263" i="7"/>
  <c r="F263" i="7"/>
  <c r="V262" i="7"/>
  <c r="T262" i="7"/>
  <c r="J267" i="7" s="1"/>
  <c r="R262" i="7"/>
  <c r="U262" i="7"/>
  <c r="S262" i="7"/>
  <c r="Q262" i="7"/>
  <c r="E262" i="7"/>
  <c r="D262" i="7"/>
  <c r="C262" i="7"/>
  <c r="B262" i="7"/>
  <c r="K260" i="7"/>
  <c r="H260" i="7"/>
  <c r="G260" i="7"/>
  <c r="E260" i="7"/>
  <c r="J259" i="7"/>
  <c r="E259" i="7"/>
  <c r="J258" i="7"/>
  <c r="E258" i="7"/>
  <c r="J257" i="7"/>
  <c r="I261" i="7" s="1"/>
  <c r="I257" i="7"/>
  <c r="H257" i="7"/>
  <c r="G257" i="7"/>
  <c r="F257" i="7"/>
  <c r="J256" i="7"/>
  <c r="I256" i="7"/>
  <c r="H256" i="7"/>
  <c r="G256" i="7"/>
  <c r="F256" i="7"/>
  <c r="V255" i="7"/>
  <c r="T255" i="7"/>
  <c r="R255" i="7"/>
  <c r="U255" i="7"/>
  <c r="S255" i="7"/>
  <c r="Q255" i="7"/>
  <c r="E255" i="7"/>
  <c r="D255" i="7"/>
  <c r="C255" i="7"/>
  <c r="B255" i="7"/>
  <c r="K253" i="7"/>
  <c r="H253" i="7"/>
  <c r="G253" i="7"/>
  <c r="E253" i="7"/>
  <c r="E252" i="7"/>
  <c r="E251" i="7"/>
  <c r="E250" i="7"/>
  <c r="J249" i="7"/>
  <c r="I249" i="7"/>
  <c r="H249" i="7"/>
  <c r="G249" i="7"/>
  <c r="F249" i="7"/>
  <c r="J248" i="7"/>
  <c r="I248" i="7"/>
  <c r="H248" i="7"/>
  <c r="G248" i="7"/>
  <c r="F248" i="7"/>
  <c r="J247" i="7"/>
  <c r="I247" i="7"/>
  <c r="H247" i="7"/>
  <c r="G247" i="7"/>
  <c r="F247" i="7"/>
  <c r="J246" i="7"/>
  <c r="I246" i="7"/>
  <c r="H246" i="7"/>
  <c r="G246" i="7"/>
  <c r="F246" i="7"/>
  <c r="V245" i="7"/>
  <c r="J252" i="7" s="1"/>
  <c r="T245" i="7"/>
  <c r="J251" i="7" s="1"/>
  <c r="R245" i="7"/>
  <c r="J250" i="7" s="1"/>
  <c r="I254" i="7" s="1"/>
  <c r="U245" i="7"/>
  <c r="S245" i="7"/>
  <c r="Q245" i="7"/>
  <c r="E245" i="7"/>
  <c r="D245" i="7"/>
  <c r="C245" i="7"/>
  <c r="B245" i="7"/>
  <c r="K243" i="7"/>
  <c r="H243" i="7"/>
  <c r="G243" i="7"/>
  <c r="E243" i="7"/>
  <c r="E242" i="7"/>
  <c r="E241" i="7"/>
  <c r="J240" i="7"/>
  <c r="I240" i="7"/>
  <c r="H240" i="7"/>
  <c r="G240" i="7"/>
  <c r="F240" i="7"/>
  <c r="C239" i="7"/>
  <c r="V238" i="7"/>
  <c r="T238" i="7"/>
  <c r="J242" i="7" s="1"/>
  <c r="R238" i="7"/>
  <c r="J241" i="7" s="1"/>
  <c r="I244" i="7" s="1"/>
  <c r="U238" i="7"/>
  <c r="S238" i="7"/>
  <c r="Q238" i="7"/>
  <c r="E238" i="7"/>
  <c r="D238" i="7"/>
  <c r="C238" i="7"/>
  <c r="B238" i="7"/>
  <c r="K236" i="7"/>
  <c r="H236" i="7"/>
  <c r="G236" i="7"/>
  <c r="E236" i="7"/>
  <c r="E235" i="7"/>
  <c r="J234" i="7"/>
  <c r="E234" i="7"/>
  <c r="J233" i="7"/>
  <c r="E233" i="7"/>
  <c r="J232" i="7"/>
  <c r="I232" i="7"/>
  <c r="H232" i="7"/>
  <c r="G232" i="7"/>
  <c r="F232" i="7"/>
  <c r="J231" i="7"/>
  <c r="I231" i="7"/>
  <c r="H231" i="7"/>
  <c r="G231" i="7"/>
  <c r="F231" i="7"/>
  <c r="J230" i="7"/>
  <c r="I230" i="7"/>
  <c r="H230" i="7"/>
  <c r="G230" i="7"/>
  <c r="F230" i="7"/>
  <c r="C229" i="7"/>
  <c r="V228" i="7"/>
  <c r="J235" i="7" s="1"/>
  <c r="T228" i="7"/>
  <c r="R228" i="7"/>
  <c r="U228" i="7"/>
  <c r="S228" i="7"/>
  <c r="Q228" i="7"/>
  <c r="E228" i="7"/>
  <c r="D228" i="7"/>
  <c r="C228" i="7"/>
  <c r="B228" i="7"/>
  <c r="A227" i="7"/>
  <c r="K221" i="7"/>
  <c r="H221" i="7"/>
  <c r="G221" i="7"/>
  <c r="E221" i="7"/>
  <c r="E220" i="7"/>
  <c r="E219" i="7"/>
  <c r="E218" i="7"/>
  <c r="J217" i="7"/>
  <c r="I217" i="7"/>
  <c r="H217" i="7"/>
  <c r="G217" i="7"/>
  <c r="F217" i="7"/>
  <c r="J216" i="7"/>
  <c r="I216" i="7"/>
  <c r="H216" i="7"/>
  <c r="G216" i="7"/>
  <c r="F216" i="7"/>
  <c r="J215" i="7"/>
  <c r="I222" i="7" s="1"/>
  <c r="I215" i="7"/>
  <c r="H215" i="7"/>
  <c r="G215" i="7"/>
  <c r="F215" i="7"/>
  <c r="J214" i="7"/>
  <c r="I214" i="7"/>
  <c r="H214" i="7"/>
  <c r="G214" i="7"/>
  <c r="F214" i="7"/>
  <c r="V213" i="7"/>
  <c r="J220" i="7" s="1"/>
  <c r="T213" i="7"/>
  <c r="J219" i="7" s="1"/>
  <c r="R213" i="7"/>
  <c r="J218" i="7" s="1"/>
  <c r="U213" i="7"/>
  <c r="S213" i="7"/>
  <c r="Q213" i="7"/>
  <c r="E213" i="7"/>
  <c r="D213" i="7"/>
  <c r="C213" i="7"/>
  <c r="B213" i="7"/>
  <c r="I212" i="7"/>
  <c r="K212" i="7" s="1"/>
  <c r="K211" i="7"/>
  <c r="H211" i="7"/>
  <c r="G211" i="7"/>
  <c r="E211" i="7"/>
  <c r="E210" i="7"/>
  <c r="E209" i="7"/>
  <c r="J208" i="7"/>
  <c r="I208" i="7"/>
  <c r="H208" i="7"/>
  <c r="G208" i="7"/>
  <c r="F208" i="7"/>
  <c r="V207" i="7"/>
  <c r="T207" i="7"/>
  <c r="J210" i="7" s="1"/>
  <c r="R207" i="7"/>
  <c r="J209" i="7" s="1"/>
  <c r="U207" i="7"/>
  <c r="S207" i="7"/>
  <c r="Q207" i="7"/>
  <c r="E207" i="7"/>
  <c r="D207" i="7"/>
  <c r="C207" i="7"/>
  <c r="B207" i="7"/>
  <c r="K205" i="7"/>
  <c r="H205" i="7"/>
  <c r="G205" i="7"/>
  <c r="E205" i="7"/>
  <c r="E204" i="7"/>
  <c r="E203" i="7"/>
  <c r="J202" i="7"/>
  <c r="I202" i="7"/>
  <c r="H202" i="7"/>
  <c r="F202" i="7"/>
  <c r="V202" i="7"/>
  <c r="T202" i="7"/>
  <c r="R202" i="7"/>
  <c r="U202" i="7"/>
  <c r="S202" i="7"/>
  <c r="Q202" i="7"/>
  <c r="E202" i="7"/>
  <c r="D202" i="7"/>
  <c r="C202" i="7"/>
  <c r="B202" i="7"/>
  <c r="J201" i="7"/>
  <c r="I201" i="7"/>
  <c r="H201" i="7"/>
  <c r="G201" i="7"/>
  <c r="F201" i="7"/>
  <c r="J200" i="7"/>
  <c r="I200" i="7"/>
  <c r="H200" i="7"/>
  <c r="G200" i="7"/>
  <c r="F200" i="7"/>
  <c r="C199" i="7"/>
  <c r="V198" i="7"/>
  <c r="T198" i="7"/>
  <c r="J204" i="7" s="1"/>
  <c r="R198" i="7"/>
  <c r="J203" i="7" s="1"/>
  <c r="U198" i="7"/>
  <c r="S198" i="7"/>
  <c r="Q198" i="7"/>
  <c r="E198" i="7"/>
  <c r="D198" i="7"/>
  <c r="C198" i="7"/>
  <c r="B198" i="7"/>
  <c r="K196" i="7"/>
  <c r="H196" i="7"/>
  <c r="G196" i="7"/>
  <c r="E196" i="7"/>
  <c r="J195" i="7"/>
  <c r="E195" i="7"/>
  <c r="J194" i="7"/>
  <c r="E194" i="7"/>
  <c r="J193" i="7"/>
  <c r="I193" i="7"/>
  <c r="H193" i="7"/>
  <c r="G193" i="7"/>
  <c r="F193" i="7"/>
  <c r="J192" i="7"/>
  <c r="I197" i="7" s="1"/>
  <c r="I192" i="7"/>
  <c r="H192" i="7"/>
  <c r="G192" i="7"/>
  <c r="F192" i="7"/>
  <c r="C191" i="7"/>
  <c r="V190" i="7"/>
  <c r="T190" i="7"/>
  <c r="R190" i="7"/>
  <c r="U190" i="7"/>
  <c r="S190" i="7"/>
  <c r="Q190" i="7"/>
  <c r="E190" i="7"/>
  <c r="D190" i="7"/>
  <c r="C190" i="7"/>
  <c r="B190" i="7"/>
  <c r="K188" i="7"/>
  <c r="H188" i="7"/>
  <c r="G188" i="7"/>
  <c r="E188" i="7"/>
  <c r="J187" i="7"/>
  <c r="E187" i="7"/>
  <c r="J186" i="7"/>
  <c r="E186" i="7"/>
  <c r="J185" i="7"/>
  <c r="I185" i="7"/>
  <c r="H185" i="7"/>
  <c r="F185" i="7"/>
  <c r="V185" i="7"/>
  <c r="T185" i="7"/>
  <c r="R185" i="7"/>
  <c r="U185" i="7"/>
  <c r="S185" i="7"/>
  <c r="Q185" i="7"/>
  <c r="E185" i="7"/>
  <c r="D185" i="7"/>
  <c r="C185" i="7"/>
  <c r="B185" i="7"/>
  <c r="J184" i="7"/>
  <c r="I184" i="7"/>
  <c r="H184" i="7"/>
  <c r="G184" i="7"/>
  <c r="F184" i="7"/>
  <c r="J183" i="7"/>
  <c r="I183" i="7"/>
  <c r="H183" i="7"/>
  <c r="G183" i="7"/>
  <c r="F183" i="7"/>
  <c r="V182" i="7"/>
  <c r="T182" i="7"/>
  <c r="R182" i="7"/>
  <c r="U182" i="7"/>
  <c r="S182" i="7"/>
  <c r="Q182" i="7"/>
  <c r="E182" i="7"/>
  <c r="D182" i="7"/>
  <c r="C182" i="7"/>
  <c r="B182" i="7"/>
  <c r="J180" i="7"/>
  <c r="E180" i="7"/>
  <c r="J179" i="7"/>
  <c r="I179" i="7"/>
  <c r="H179" i="7"/>
  <c r="F179" i="7"/>
  <c r="V179" i="7"/>
  <c r="T179" i="7"/>
  <c r="R179" i="7"/>
  <c r="U179" i="7"/>
  <c r="S179" i="7"/>
  <c r="Q179" i="7"/>
  <c r="E179" i="7"/>
  <c r="D179" i="7"/>
  <c r="C179" i="7"/>
  <c r="B179" i="7"/>
  <c r="J178" i="7"/>
  <c r="I178" i="7"/>
  <c r="H178" i="7"/>
  <c r="G178" i="7"/>
  <c r="F178" i="7"/>
  <c r="J177" i="7"/>
  <c r="I177" i="7"/>
  <c r="H177" i="7"/>
  <c r="G177" i="7"/>
  <c r="F177" i="7"/>
  <c r="J176" i="7"/>
  <c r="I181" i="7" s="1"/>
  <c r="I176" i="7"/>
  <c r="H176" i="7"/>
  <c r="G176" i="7"/>
  <c r="F176" i="7"/>
  <c r="V175" i="7"/>
  <c r="T175" i="7"/>
  <c r="R175" i="7"/>
  <c r="U175" i="7"/>
  <c r="S175" i="7"/>
  <c r="Q175" i="7"/>
  <c r="E175" i="7"/>
  <c r="D175" i="7"/>
  <c r="C175" i="7"/>
  <c r="B175" i="7"/>
  <c r="K173" i="7"/>
  <c r="H173" i="7"/>
  <c r="G173" i="7"/>
  <c r="E173" i="7"/>
  <c r="J172" i="7"/>
  <c r="E172" i="7"/>
  <c r="E171" i="7"/>
  <c r="J170" i="7"/>
  <c r="I170" i="7"/>
  <c r="H170" i="7"/>
  <c r="G170" i="7"/>
  <c r="F170" i="7"/>
  <c r="J169" i="7"/>
  <c r="I169" i="7"/>
  <c r="H169" i="7"/>
  <c r="G169" i="7"/>
  <c r="F169" i="7"/>
  <c r="V168" i="7"/>
  <c r="T168" i="7"/>
  <c r="R168" i="7"/>
  <c r="J171" i="7" s="1"/>
  <c r="I174" i="7" s="1"/>
  <c r="U168" i="7"/>
  <c r="S168" i="7"/>
  <c r="Q168" i="7"/>
  <c r="E168" i="7"/>
  <c r="D168" i="7"/>
  <c r="C168" i="7"/>
  <c r="B168" i="7"/>
  <c r="K166" i="7"/>
  <c r="H166" i="7"/>
  <c r="G166" i="7"/>
  <c r="E166" i="7"/>
  <c r="E165" i="7"/>
  <c r="E164" i="7"/>
  <c r="J163" i="7"/>
  <c r="I163" i="7"/>
  <c r="H163" i="7"/>
  <c r="G163" i="7"/>
  <c r="F163" i="7"/>
  <c r="V162" i="7"/>
  <c r="T162" i="7"/>
  <c r="J165" i="7" s="1"/>
  <c r="R162" i="7"/>
  <c r="J164" i="7" s="1"/>
  <c r="U162" i="7"/>
  <c r="S162" i="7"/>
  <c r="Q162" i="7"/>
  <c r="E162" i="7"/>
  <c r="D162" i="7"/>
  <c r="C162" i="7"/>
  <c r="B162" i="7"/>
  <c r="E160" i="7"/>
  <c r="J159" i="7"/>
  <c r="I159" i="7"/>
  <c r="H159" i="7"/>
  <c r="F159" i="7"/>
  <c r="V159" i="7"/>
  <c r="T159" i="7"/>
  <c r="R159" i="7"/>
  <c r="U159" i="7"/>
  <c r="S159" i="7"/>
  <c r="Q159" i="7"/>
  <c r="E159" i="7"/>
  <c r="D159" i="7"/>
  <c r="C159" i="7"/>
  <c r="B159" i="7"/>
  <c r="J158" i="7"/>
  <c r="I158" i="7"/>
  <c r="H158" i="7"/>
  <c r="G158" i="7"/>
  <c r="F158" i="7"/>
  <c r="J157" i="7"/>
  <c r="I157" i="7"/>
  <c r="H157" i="7"/>
  <c r="G157" i="7"/>
  <c r="F157" i="7"/>
  <c r="J156" i="7"/>
  <c r="I156" i="7"/>
  <c r="H156" i="7"/>
  <c r="G156" i="7"/>
  <c r="F156" i="7"/>
  <c r="V155" i="7"/>
  <c r="J160" i="7" s="1"/>
  <c r="T155" i="7"/>
  <c r="R155" i="7"/>
  <c r="U155" i="7"/>
  <c r="S155" i="7"/>
  <c r="Q155" i="7"/>
  <c r="E155" i="7"/>
  <c r="D155" i="7"/>
  <c r="C155" i="7"/>
  <c r="B155" i="7"/>
  <c r="A154" i="7"/>
  <c r="K148" i="7"/>
  <c r="H148" i="7"/>
  <c r="G148" i="7"/>
  <c r="E148" i="7"/>
  <c r="J147" i="7"/>
  <c r="E147" i="7"/>
  <c r="J146" i="7"/>
  <c r="E146" i="7"/>
  <c r="J145" i="7"/>
  <c r="I149" i="7" s="1"/>
  <c r="I145" i="7"/>
  <c r="H145" i="7"/>
  <c r="G145" i="7"/>
  <c r="F145" i="7"/>
  <c r="V144" i="7"/>
  <c r="T144" i="7"/>
  <c r="R144" i="7"/>
  <c r="U144" i="7"/>
  <c r="S144" i="7"/>
  <c r="Q144" i="7"/>
  <c r="E144" i="7"/>
  <c r="D144" i="7"/>
  <c r="C144" i="7"/>
  <c r="B144" i="7"/>
  <c r="K142" i="7"/>
  <c r="H142" i="7"/>
  <c r="G142" i="7"/>
  <c r="E142" i="7"/>
  <c r="J141" i="7"/>
  <c r="E141" i="7"/>
  <c r="J140" i="7"/>
  <c r="I143" i="7" s="1"/>
  <c r="E140" i="7"/>
  <c r="J139" i="7"/>
  <c r="I139" i="7"/>
  <c r="H139" i="7"/>
  <c r="G139" i="7"/>
  <c r="F139" i="7"/>
  <c r="V138" i="7"/>
  <c r="T138" i="7"/>
  <c r="R138" i="7"/>
  <c r="U138" i="7"/>
  <c r="S138" i="7"/>
  <c r="Q138" i="7"/>
  <c r="E138" i="7"/>
  <c r="D138" i="7"/>
  <c r="C138" i="7"/>
  <c r="B138" i="7"/>
  <c r="K136" i="7"/>
  <c r="H136" i="7"/>
  <c r="G136" i="7"/>
  <c r="E136" i="7"/>
  <c r="E135" i="7"/>
  <c r="E134" i="7"/>
  <c r="J133" i="7"/>
  <c r="I133" i="7"/>
  <c r="H133" i="7"/>
  <c r="F133" i="7"/>
  <c r="V133" i="7"/>
  <c r="T133" i="7"/>
  <c r="R133" i="7"/>
  <c r="U133" i="7"/>
  <c r="S133" i="7"/>
  <c r="Q133" i="7"/>
  <c r="E133" i="7"/>
  <c r="D133" i="7"/>
  <c r="C133" i="7"/>
  <c r="B133" i="7"/>
  <c r="J132" i="7"/>
  <c r="I132" i="7"/>
  <c r="H132" i="7"/>
  <c r="G132" i="7"/>
  <c r="F132" i="7"/>
  <c r="J131" i="7"/>
  <c r="I131" i="7"/>
  <c r="H131" i="7"/>
  <c r="G131" i="7"/>
  <c r="F131" i="7"/>
  <c r="V130" i="7"/>
  <c r="T130" i="7"/>
  <c r="J135" i="7" s="1"/>
  <c r="R130" i="7"/>
  <c r="J134" i="7" s="1"/>
  <c r="I137" i="7" s="1"/>
  <c r="U130" i="7"/>
  <c r="S130" i="7"/>
  <c r="Q130" i="7"/>
  <c r="E130" i="7"/>
  <c r="D130" i="7"/>
  <c r="C130" i="7"/>
  <c r="B130" i="7"/>
  <c r="K128" i="7"/>
  <c r="H128" i="7"/>
  <c r="G128" i="7"/>
  <c r="E128" i="7"/>
  <c r="E127" i="7"/>
  <c r="E126" i="7"/>
  <c r="J125" i="7"/>
  <c r="I125" i="7"/>
  <c r="H125" i="7"/>
  <c r="G125" i="7"/>
  <c r="F125" i="7"/>
  <c r="J124" i="7"/>
  <c r="I124" i="7"/>
  <c r="H124" i="7"/>
  <c r="G124" i="7"/>
  <c r="F124" i="7"/>
  <c r="V123" i="7"/>
  <c r="T123" i="7"/>
  <c r="J127" i="7" s="1"/>
  <c r="R123" i="7"/>
  <c r="J126" i="7" s="1"/>
  <c r="I129" i="7" s="1"/>
  <c r="U123" i="7"/>
  <c r="S123" i="7"/>
  <c r="Q123" i="7"/>
  <c r="E123" i="7"/>
  <c r="D123" i="7"/>
  <c r="C123" i="7"/>
  <c r="B123" i="7"/>
  <c r="K121" i="7"/>
  <c r="H121" i="7"/>
  <c r="G121" i="7"/>
  <c r="E121" i="7"/>
  <c r="E120" i="7"/>
  <c r="J119" i="7"/>
  <c r="E119" i="7"/>
  <c r="J118" i="7"/>
  <c r="I118" i="7"/>
  <c r="H118" i="7"/>
  <c r="G118" i="7"/>
  <c r="F118" i="7"/>
  <c r="V117" i="7"/>
  <c r="T117" i="7"/>
  <c r="J120" i="7" s="1"/>
  <c r="R117" i="7"/>
  <c r="U117" i="7"/>
  <c r="S117" i="7"/>
  <c r="Q117" i="7"/>
  <c r="E117" i="7"/>
  <c r="D117" i="7"/>
  <c r="C117" i="7"/>
  <c r="B117" i="7"/>
  <c r="J115" i="7"/>
  <c r="E115" i="7"/>
  <c r="J114" i="7"/>
  <c r="I114" i="7"/>
  <c r="H114" i="7"/>
  <c r="G114" i="7"/>
  <c r="F114" i="7"/>
  <c r="J113" i="7"/>
  <c r="I116" i="7" s="1"/>
  <c r="I113" i="7"/>
  <c r="H113" i="7"/>
  <c r="G113" i="7"/>
  <c r="F113" i="7"/>
  <c r="V112" i="7"/>
  <c r="T112" i="7"/>
  <c r="R112" i="7"/>
  <c r="U112" i="7"/>
  <c r="S112" i="7"/>
  <c r="Q112" i="7"/>
  <c r="E112" i="7"/>
  <c r="D112" i="7"/>
  <c r="C112" i="7"/>
  <c r="B112" i="7"/>
  <c r="K110" i="7"/>
  <c r="H110" i="7"/>
  <c r="G110" i="7"/>
  <c r="E110" i="7"/>
  <c r="J109" i="7"/>
  <c r="E109" i="7"/>
  <c r="J108" i="7"/>
  <c r="E108" i="7"/>
  <c r="E107" i="7"/>
  <c r="J106" i="7"/>
  <c r="I106" i="7"/>
  <c r="H106" i="7"/>
  <c r="G106" i="7"/>
  <c r="F106" i="7"/>
  <c r="J105" i="7"/>
  <c r="I105" i="7"/>
  <c r="H105" i="7"/>
  <c r="G105" i="7"/>
  <c r="F105" i="7"/>
  <c r="J104" i="7"/>
  <c r="I104" i="7"/>
  <c r="H104" i="7"/>
  <c r="G104" i="7"/>
  <c r="F104" i="7"/>
  <c r="V103" i="7"/>
  <c r="T103" i="7"/>
  <c r="R103" i="7"/>
  <c r="J107" i="7" s="1"/>
  <c r="U103" i="7"/>
  <c r="S103" i="7"/>
  <c r="Q103" i="7"/>
  <c r="E103" i="7"/>
  <c r="D103" i="7"/>
  <c r="C103" i="7"/>
  <c r="B103" i="7"/>
  <c r="K101" i="7"/>
  <c r="H101" i="7"/>
  <c r="G101" i="7"/>
  <c r="E101" i="7"/>
  <c r="J100" i="7"/>
  <c r="E100" i="7"/>
  <c r="J99" i="7"/>
  <c r="E99" i="7"/>
  <c r="J98" i="7"/>
  <c r="I102" i="7" s="1"/>
  <c r="I98" i="7"/>
  <c r="H98" i="7"/>
  <c r="G98" i="7"/>
  <c r="F98" i="7"/>
  <c r="V97" i="7"/>
  <c r="T97" i="7"/>
  <c r="R97" i="7"/>
  <c r="U97" i="7"/>
  <c r="S97" i="7"/>
  <c r="Q97" i="7"/>
  <c r="E97" i="7"/>
  <c r="D97" i="7"/>
  <c r="C97" i="7"/>
  <c r="B97" i="7"/>
  <c r="K95" i="7"/>
  <c r="H95" i="7"/>
  <c r="G95" i="7"/>
  <c r="E95" i="7"/>
  <c r="E94" i="7"/>
  <c r="E93" i="7"/>
  <c r="J92" i="7"/>
  <c r="E92" i="7"/>
  <c r="J91" i="7"/>
  <c r="I91" i="7"/>
  <c r="H91" i="7"/>
  <c r="G91" i="7"/>
  <c r="F91" i="7"/>
  <c r="J90" i="7"/>
  <c r="I90" i="7"/>
  <c r="H90" i="7"/>
  <c r="G90" i="7"/>
  <c r="F90" i="7"/>
  <c r="J89" i="7"/>
  <c r="I89" i="7"/>
  <c r="H89" i="7"/>
  <c r="G89" i="7"/>
  <c r="F89" i="7"/>
  <c r="J88" i="7"/>
  <c r="I88" i="7"/>
  <c r="H88" i="7"/>
  <c r="G88" i="7"/>
  <c r="F88" i="7"/>
  <c r="V87" i="7"/>
  <c r="J94" i="7" s="1"/>
  <c r="T87" i="7"/>
  <c r="J93" i="7" s="1"/>
  <c r="R87" i="7"/>
  <c r="U87" i="7"/>
  <c r="S87" i="7"/>
  <c r="Q87" i="7"/>
  <c r="E87" i="7"/>
  <c r="D87" i="7"/>
  <c r="C87" i="7"/>
  <c r="B87" i="7"/>
  <c r="K85" i="7"/>
  <c r="H85" i="7"/>
  <c r="G85" i="7"/>
  <c r="E85" i="7"/>
  <c r="J84" i="7"/>
  <c r="E84" i="7"/>
  <c r="J83" i="7"/>
  <c r="E83" i="7"/>
  <c r="J82" i="7"/>
  <c r="I82" i="7"/>
  <c r="H82" i="7"/>
  <c r="G82" i="7"/>
  <c r="F82" i="7"/>
  <c r="J81" i="7"/>
  <c r="I81" i="7"/>
  <c r="H81" i="7"/>
  <c r="G81" i="7"/>
  <c r="F81" i="7"/>
  <c r="V80" i="7"/>
  <c r="T80" i="7"/>
  <c r="R80" i="7"/>
  <c r="U80" i="7"/>
  <c r="S80" i="7"/>
  <c r="Q80" i="7"/>
  <c r="E80" i="7"/>
  <c r="D80" i="7"/>
  <c r="C80" i="7"/>
  <c r="B80" i="7"/>
  <c r="K78" i="7"/>
  <c r="H78" i="7"/>
  <c r="G78" i="7"/>
  <c r="E78" i="7"/>
  <c r="E77" i="7"/>
  <c r="E76" i="7"/>
  <c r="J75" i="7"/>
  <c r="I75" i="7"/>
  <c r="H75" i="7"/>
  <c r="G75" i="7"/>
  <c r="F75" i="7"/>
  <c r="V74" i="7"/>
  <c r="T74" i="7"/>
  <c r="J77" i="7" s="1"/>
  <c r="R74" i="7"/>
  <c r="J76" i="7" s="1"/>
  <c r="I79" i="7" s="1"/>
  <c r="U74" i="7"/>
  <c r="S74" i="7"/>
  <c r="Q74" i="7"/>
  <c r="E74" i="7"/>
  <c r="D74" i="7"/>
  <c r="C74" i="7"/>
  <c r="B74" i="7"/>
  <c r="K72" i="7"/>
  <c r="H72" i="7"/>
  <c r="G72" i="7"/>
  <c r="E72" i="7"/>
  <c r="E71" i="7"/>
  <c r="E70" i="7"/>
  <c r="J69" i="7"/>
  <c r="I69" i="7"/>
  <c r="H69" i="7"/>
  <c r="G69" i="7"/>
  <c r="F69" i="7"/>
  <c r="V68" i="7"/>
  <c r="T68" i="7"/>
  <c r="J71" i="7" s="1"/>
  <c r="R68" i="7"/>
  <c r="J70" i="7" s="1"/>
  <c r="U68" i="7"/>
  <c r="S68" i="7"/>
  <c r="Q68" i="7"/>
  <c r="E68" i="7"/>
  <c r="D68" i="7"/>
  <c r="C68" i="7"/>
  <c r="B68" i="7"/>
  <c r="K66" i="7"/>
  <c r="H66" i="7"/>
  <c r="G66" i="7"/>
  <c r="E66" i="7"/>
  <c r="E65" i="7"/>
  <c r="E64" i="7"/>
  <c r="J63" i="7"/>
  <c r="I63" i="7"/>
  <c r="H63" i="7"/>
  <c r="G63" i="7"/>
  <c r="F63" i="7"/>
  <c r="V62" i="7"/>
  <c r="T62" i="7"/>
  <c r="J65" i="7" s="1"/>
  <c r="R62" i="7"/>
  <c r="J64" i="7" s="1"/>
  <c r="U62" i="7"/>
  <c r="S62" i="7"/>
  <c r="Q62" i="7"/>
  <c r="E62" i="7"/>
  <c r="D62" i="7"/>
  <c r="C62" i="7"/>
  <c r="B62" i="7"/>
  <c r="K60" i="7"/>
  <c r="H60" i="7"/>
  <c r="G60" i="7"/>
  <c r="E60" i="7"/>
  <c r="J59" i="7"/>
  <c r="E59" i="7"/>
  <c r="J58" i="7"/>
  <c r="E58" i="7"/>
  <c r="J57" i="7"/>
  <c r="I61" i="7" s="1"/>
  <c r="I57" i="7"/>
  <c r="H57" i="7"/>
  <c r="G57" i="7"/>
  <c r="F57" i="7"/>
  <c r="V56" i="7"/>
  <c r="T56" i="7"/>
  <c r="R56" i="7"/>
  <c r="U56" i="7"/>
  <c r="S56" i="7"/>
  <c r="Q56" i="7"/>
  <c r="E56" i="7"/>
  <c r="D56" i="7"/>
  <c r="C56" i="7"/>
  <c r="B56" i="7"/>
  <c r="E54" i="7"/>
  <c r="J53" i="7"/>
  <c r="I53" i="7"/>
  <c r="H53" i="7"/>
  <c r="F53" i="7"/>
  <c r="V53" i="7"/>
  <c r="J54" i="7" s="1"/>
  <c r="T53" i="7"/>
  <c r="R53" i="7"/>
  <c r="U53" i="7"/>
  <c r="S53" i="7"/>
  <c r="Q53" i="7"/>
  <c r="E53" i="7"/>
  <c r="D53" i="7"/>
  <c r="C53" i="7"/>
  <c r="B53" i="7"/>
  <c r="J52" i="7"/>
  <c r="I52" i="7"/>
  <c r="H52" i="7"/>
  <c r="G52" i="7"/>
  <c r="F52" i="7"/>
  <c r="J51" i="7"/>
  <c r="I51" i="7"/>
  <c r="H51" i="7"/>
  <c r="G51" i="7"/>
  <c r="F51" i="7"/>
  <c r="J50" i="7"/>
  <c r="I50" i="7"/>
  <c r="H50" i="7"/>
  <c r="G50" i="7"/>
  <c r="F50" i="7"/>
  <c r="V49" i="7"/>
  <c r="T49" i="7"/>
  <c r="R49" i="7"/>
  <c r="U49" i="7"/>
  <c r="S49" i="7"/>
  <c r="Q49" i="7"/>
  <c r="E49" i="7"/>
  <c r="D49" i="7"/>
  <c r="C49" i="7"/>
  <c r="B49" i="7"/>
  <c r="K47" i="7"/>
  <c r="H47" i="7"/>
  <c r="G47" i="7"/>
  <c r="E47" i="7"/>
  <c r="J46" i="7"/>
  <c r="E46" i="7"/>
  <c r="J45" i="7"/>
  <c r="I48" i="7" s="1"/>
  <c r="E45" i="7"/>
  <c r="J44" i="7"/>
  <c r="I44" i="7"/>
  <c r="H44" i="7"/>
  <c r="G44" i="7"/>
  <c r="F44" i="7"/>
  <c r="V43" i="7"/>
  <c r="T43" i="7"/>
  <c r="R43" i="7"/>
  <c r="U43" i="7"/>
  <c r="S43" i="7"/>
  <c r="Q43" i="7"/>
  <c r="E43" i="7"/>
  <c r="D43" i="7"/>
  <c r="C43" i="7"/>
  <c r="B43" i="7"/>
  <c r="J41" i="7"/>
  <c r="I42" i="7" s="1"/>
  <c r="E41" i="7"/>
  <c r="J40" i="7"/>
  <c r="I40" i="7"/>
  <c r="H40" i="7"/>
  <c r="G40" i="7"/>
  <c r="F40" i="7"/>
  <c r="J39" i="7"/>
  <c r="I39" i="7"/>
  <c r="H39" i="7"/>
  <c r="G39" i="7"/>
  <c r="F39" i="7"/>
  <c r="V38" i="7"/>
  <c r="T38" i="7"/>
  <c r="R38" i="7"/>
  <c r="U38" i="7"/>
  <c r="S38" i="7"/>
  <c r="Q38" i="7"/>
  <c r="E38" i="7"/>
  <c r="D38" i="7"/>
  <c r="C38" i="7"/>
  <c r="B38" i="7"/>
  <c r="A37" i="7"/>
  <c r="A35" i="7"/>
  <c r="A33" i="7"/>
  <c r="A19" i="7"/>
  <c r="A16" i="7"/>
  <c r="A13" i="7"/>
  <c r="A10" i="7"/>
  <c r="G6" i="7"/>
  <c r="B6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1" i="3"/>
  <c r="Y1" i="3"/>
  <c r="CW1" i="3"/>
  <c r="CX1" i="3"/>
  <c r="DI1" i="3" s="1"/>
  <c r="CY1" i="3"/>
  <c r="CZ1" i="3"/>
  <c r="DA1" i="3"/>
  <c r="DB1" i="3"/>
  <c r="DC1" i="3"/>
  <c r="A2" i="3"/>
  <c r="Y2" i="3"/>
  <c r="CU2" i="3"/>
  <c r="CV2" i="3"/>
  <c r="CX2" i="3"/>
  <c r="CY2" i="3"/>
  <c r="CZ2" i="3"/>
  <c r="DA2" i="3"/>
  <c r="DB2" i="3"/>
  <c r="DC2" i="3"/>
  <c r="DF2" i="3"/>
  <c r="DG2" i="3"/>
  <c r="A3" i="3"/>
  <c r="Y3" i="3"/>
  <c r="CW3" i="3"/>
  <c r="CX3" i="3"/>
  <c r="CY3" i="3"/>
  <c r="CZ3" i="3"/>
  <c r="DA3" i="3"/>
  <c r="DB3" i="3"/>
  <c r="DC3" i="3"/>
  <c r="DF3" i="3"/>
  <c r="DG3" i="3"/>
  <c r="DH3" i="3"/>
  <c r="DI3" i="3"/>
  <c r="DJ3" i="3"/>
  <c r="A4" i="3"/>
  <c r="Y4" i="3"/>
  <c r="CX4" i="3"/>
  <c r="CY4" i="3"/>
  <c r="CZ4" i="3"/>
  <c r="DB4" i="3" s="1"/>
  <c r="DA4" i="3"/>
  <c r="DC4" i="3"/>
  <c r="DF4" i="3"/>
  <c r="DJ4" i="3" s="1"/>
  <c r="A5" i="3"/>
  <c r="Y5" i="3"/>
  <c r="CU5" i="3"/>
  <c r="CV5" i="3"/>
  <c r="CX5" i="3"/>
  <c r="CY5" i="3"/>
  <c r="CZ5" i="3"/>
  <c r="DA5" i="3"/>
  <c r="DB5" i="3"/>
  <c r="DC5" i="3"/>
  <c r="DF5" i="3"/>
  <c r="DG5" i="3"/>
  <c r="DH5" i="3"/>
  <c r="DI5" i="3"/>
  <c r="DJ5" i="3" s="1"/>
  <c r="A6" i="3"/>
  <c r="Y6" i="3"/>
  <c r="CU6" i="3"/>
  <c r="CV6" i="3"/>
  <c r="CX6" i="3"/>
  <c r="CY6" i="3"/>
  <c r="CZ6" i="3"/>
  <c r="DA6" i="3"/>
  <c r="DB6" i="3"/>
  <c r="DC6" i="3"/>
  <c r="DF6" i="3"/>
  <c r="DG6" i="3"/>
  <c r="DH6" i="3"/>
  <c r="DI6" i="3"/>
  <c r="DJ6" i="3"/>
  <c r="A7" i="3"/>
  <c r="Y7" i="3"/>
  <c r="CU7" i="3"/>
  <c r="CV7" i="3"/>
  <c r="CX7" i="3"/>
  <c r="CY7" i="3"/>
  <c r="CZ7" i="3"/>
  <c r="DA7" i="3"/>
  <c r="DB7" i="3"/>
  <c r="DC7" i="3"/>
  <c r="DF7" i="3"/>
  <c r="A8" i="3"/>
  <c r="Y8" i="3"/>
  <c r="CX8" i="3" s="1"/>
  <c r="DH8" i="3" s="1"/>
  <c r="CU8" i="3"/>
  <c r="CV8" i="3"/>
  <c r="CY8" i="3"/>
  <c r="CZ8" i="3"/>
  <c r="DA8" i="3"/>
  <c r="DB8" i="3"/>
  <c r="DC8" i="3"/>
  <c r="A9" i="3"/>
  <c r="Y9" i="3"/>
  <c r="CU9" i="3"/>
  <c r="CV9" i="3"/>
  <c r="CX9" i="3"/>
  <c r="CY9" i="3"/>
  <c r="CZ9" i="3"/>
  <c r="DA9" i="3"/>
  <c r="DB9" i="3"/>
  <c r="DC9" i="3"/>
  <c r="DF9" i="3"/>
  <c r="DG9" i="3"/>
  <c r="DH9" i="3"/>
  <c r="DI9" i="3"/>
  <c r="DJ9" i="3"/>
  <c r="A10" i="3"/>
  <c r="Y10" i="3"/>
  <c r="CX10" i="3"/>
  <c r="CY10" i="3"/>
  <c r="CZ10" i="3"/>
  <c r="DA10" i="3"/>
  <c r="DB10" i="3"/>
  <c r="DC10" i="3"/>
  <c r="DH10" i="3"/>
  <c r="DI10" i="3"/>
  <c r="A11" i="3"/>
  <c r="Y11" i="3"/>
  <c r="CU11" i="3"/>
  <c r="CV11" i="3"/>
  <c r="CX11" i="3"/>
  <c r="CY11" i="3"/>
  <c r="CZ11" i="3"/>
  <c r="DB11" i="3" s="1"/>
  <c r="DA11" i="3"/>
  <c r="DC11" i="3"/>
  <c r="A12" i="3"/>
  <c r="Y12" i="3"/>
  <c r="CX12" i="3" s="1"/>
  <c r="CW12" i="3"/>
  <c r="CY12" i="3"/>
  <c r="CZ12" i="3"/>
  <c r="DA12" i="3"/>
  <c r="DB12" i="3"/>
  <c r="DC12" i="3"/>
  <c r="A13" i="3"/>
  <c r="Y13" i="3"/>
  <c r="CX13" i="3"/>
  <c r="CY13" i="3"/>
  <c r="CZ13" i="3"/>
  <c r="DA13" i="3"/>
  <c r="DB13" i="3"/>
  <c r="DC13" i="3"/>
  <c r="DG13" i="3"/>
  <c r="A14" i="3"/>
  <c r="Y14" i="3"/>
  <c r="CU14" i="3"/>
  <c r="CV14" i="3"/>
  <c r="CX14" i="3"/>
  <c r="CY14" i="3"/>
  <c r="CZ14" i="3"/>
  <c r="DA14" i="3"/>
  <c r="DB14" i="3"/>
  <c r="DC14" i="3"/>
  <c r="DF14" i="3"/>
  <c r="DG14" i="3"/>
  <c r="DH14" i="3"/>
  <c r="DI14" i="3"/>
  <c r="DJ14" i="3"/>
  <c r="A15" i="3"/>
  <c r="Y15" i="3"/>
  <c r="CU15" i="3"/>
  <c r="CV15" i="3"/>
  <c r="CX15" i="3"/>
  <c r="DI15" i="3" s="1"/>
  <c r="DJ15" i="3" s="1"/>
  <c r="CY15" i="3"/>
  <c r="CZ15" i="3"/>
  <c r="DA15" i="3"/>
  <c r="DB15" i="3"/>
  <c r="DC15" i="3"/>
  <c r="DF15" i="3"/>
  <c r="DG15" i="3"/>
  <c r="DH15" i="3"/>
  <c r="A16" i="3"/>
  <c r="Y16" i="3"/>
  <c r="CW16" i="3"/>
  <c r="CX16" i="3"/>
  <c r="DI16" i="3" s="1"/>
  <c r="CY16" i="3"/>
  <c r="CZ16" i="3"/>
  <c r="DA16" i="3"/>
  <c r="DB16" i="3"/>
  <c r="DC16" i="3"/>
  <c r="DF16" i="3"/>
  <c r="DG16" i="3"/>
  <c r="DJ16" i="3" s="1"/>
  <c r="DH16" i="3"/>
  <c r="A17" i="3"/>
  <c r="Y17" i="3"/>
  <c r="CW17" i="3"/>
  <c r="CX17" i="3"/>
  <c r="CY17" i="3"/>
  <c r="CZ17" i="3"/>
  <c r="DA17" i="3"/>
  <c r="DB17" i="3"/>
  <c r="DC17" i="3"/>
  <c r="DI17" i="3"/>
  <c r="A18" i="3"/>
  <c r="Y18" i="3"/>
  <c r="CU18" i="3"/>
  <c r="CV18" i="3"/>
  <c r="CX18" i="3"/>
  <c r="CY18" i="3"/>
  <c r="CZ18" i="3"/>
  <c r="DA18" i="3"/>
  <c r="DB18" i="3"/>
  <c r="DC18" i="3"/>
  <c r="DF18" i="3"/>
  <c r="DI18" i="3"/>
  <c r="DJ18" i="3"/>
  <c r="A19" i="3"/>
  <c r="Y19" i="3"/>
  <c r="CU19" i="3"/>
  <c r="CV19" i="3"/>
  <c r="CX19" i="3"/>
  <c r="DI19" i="3" s="1"/>
  <c r="DJ19" i="3" s="1"/>
  <c r="CY19" i="3"/>
  <c r="CZ19" i="3"/>
  <c r="DA19" i="3"/>
  <c r="DB19" i="3"/>
  <c r="DC19" i="3"/>
  <c r="DF19" i="3"/>
  <c r="DG19" i="3"/>
  <c r="DH19" i="3"/>
  <c r="A20" i="3"/>
  <c r="Y20" i="3"/>
  <c r="CX20" i="3"/>
  <c r="CY20" i="3"/>
  <c r="CZ20" i="3"/>
  <c r="DB20" i="3" s="1"/>
  <c r="DA20" i="3"/>
  <c r="DC20" i="3"/>
  <c r="DF20" i="3"/>
  <c r="DJ20" i="3" s="1"/>
  <c r="DG20" i="3"/>
  <c r="A21" i="3"/>
  <c r="Y21" i="3"/>
  <c r="CV21" i="3" s="1"/>
  <c r="CU21" i="3"/>
  <c r="CX21" i="3"/>
  <c r="CY21" i="3"/>
  <c r="CZ21" i="3"/>
  <c r="DB21" i="3" s="1"/>
  <c r="DA21" i="3"/>
  <c r="DC21" i="3"/>
  <c r="DF21" i="3"/>
  <c r="DG21" i="3"/>
  <c r="DH21" i="3"/>
  <c r="DI21" i="3"/>
  <c r="DJ21" i="3"/>
  <c r="A22" i="3"/>
  <c r="Y22" i="3"/>
  <c r="CX22" i="3"/>
  <c r="CY22" i="3"/>
  <c r="CZ22" i="3"/>
  <c r="DB22" i="3" s="1"/>
  <c r="DA22" i="3"/>
  <c r="DC22" i="3"/>
  <c r="DI22" i="3"/>
  <c r="A23" i="3"/>
  <c r="Y23" i="3"/>
  <c r="CX23" i="3" s="1"/>
  <c r="CY23" i="3"/>
  <c r="CZ23" i="3"/>
  <c r="DA23" i="3"/>
  <c r="DB23" i="3"/>
  <c r="DC23" i="3"/>
  <c r="A24" i="3"/>
  <c r="Y24" i="3"/>
  <c r="CX24" i="3"/>
  <c r="DI24" i="3" s="1"/>
  <c r="CY24" i="3"/>
  <c r="CZ24" i="3"/>
  <c r="DB24" i="3" s="1"/>
  <c r="DA24" i="3"/>
  <c r="DC24" i="3"/>
  <c r="A25" i="3"/>
  <c r="Y25" i="3"/>
  <c r="CU25" i="3"/>
  <c r="CV25" i="3"/>
  <c r="CX25" i="3"/>
  <c r="CY25" i="3"/>
  <c r="CZ25" i="3"/>
  <c r="DA25" i="3"/>
  <c r="DB25" i="3"/>
  <c r="DC25" i="3"/>
  <c r="A26" i="3"/>
  <c r="Y26" i="3"/>
  <c r="CU26" i="3"/>
  <c r="CV26" i="3"/>
  <c r="CX26" i="3"/>
  <c r="CY26" i="3"/>
  <c r="CZ26" i="3"/>
  <c r="DB26" i="3" s="1"/>
  <c r="DA26" i="3"/>
  <c r="DC26" i="3"/>
  <c r="A27" i="3"/>
  <c r="Y27" i="3"/>
  <c r="CX27" i="3" s="1"/>
  <c r="CW27" i="3"/>
  <c r="CY27" i="3"/>
  <c r="CZ27" i="3"/>
  <c r="DB27" i="3" s="1"/>
  <c r="DA27" i="3"/>
  <c r="DC27" i="3"/>
  <c r="A28" i="3"/>
  <c r="Y28" i="3"/>
  <c r="CX28" i="3"/>
  <c r="CY28" i="3"/>
  <c r="CZ28" i="3"/>
  <c r="DB28" i="3" s="1"/>
  <c r="DA28" i="3"/>
  <c r="DC28" i="3"/>
  <c r="DF28" i="3"/>
  <c r="DG28" i="3"/>
  <c r="DH28" i="3"/>
  <c r="DI28" i="3"/>
  <c r="DJ28" i="3"/>
  <c r="A29" i="3"/>
  <c r="Y29" i="3"/>
  <c r="CU29" i="3"/>
  <c r="CY29" i="3"/>
  <c r="CZ29" i="3"/>
  <c r="DA29" i="3"/>
  <c r="DB29" i="3"/>
  <c r="DC29" i="3"/>
  <c r="A30" i="3"/>
  <c r="Y30" i="3"/>
  <c r="CU30" i="3"/>
  <c r="CV30" i="3"/>
  <c r="CX30" i="3"/>
  <c r="CY30" i="3"/>
  <c r="CZ30" i="3"/>
  <c r="DA30" i="3"/>
  <c r="DB30" i="3"/>
  <c r="DC30" i="3"/>
  <c r="DF30" i="3"/>
  <c r="A31" i="3"/>
  <c r="Y31" i="3"/>
  <c r="CV31" i="3" s="1"/>
  <c r="CU31" i="3"/>
  <c r="CX31" i="3"/>
  <c r="CY31" i="3"/>
  <c r="CZ31" i="3"/>
  <c r="DB31" i="3" s="1"/>
  <c r="DA31" i="3"/>
  <c r="DC31" i="3"/>
  <c r="DI31" i="3"/>
  <c r="DJ31" i="3"/>
  <c r="A32" i="3"/>
  <c r="Y32" i="3"/>
  <c r="CX32" i="3"/>
  <c r="CY32" i="3"/>
  <c r="CZ32" i="3"/>
  <c r="DA32" i="3"/>
  <c r="DB32" i="3"/>
  <c r="DC32" i="3"/>
  <c r="DF32" i="3"/>
  <c r="DI32" i="3"/>
  <c r="DJ32" i="3"/>
  <c r="A33" i="3"/>
  <c r="Y33" i="3"/>
  <c r="CY33" i="3"/>
  <c r="CZ33" i="3"/>
  <c r="DA33" i="3"/>
  <c r="DB33" i="3"/>
  <c r="DC33" i="3"/>
  <c r="A34" i="3"/>
  <c r="Y34" i="3"/>
  <c r="CX34" i="3" s="1"/>
  <c r="CY34" i="3"/>
  <c r="CZ34" i="3"/>
  <c r="DB34" i="3" s="1"/>
  <c r="DA34" i="3"/>
  <c r="DC34" i="3"/>
  <c r="DF34" i="3"/>
  <c r="DG34" i="3"/>
  <c r="DH34" i="3"/>
  <c r="DI34" i="3"/>
  <c r="DJ34" i="3"/>
  <c r="A35" i="3"/>
  <c r="Y35" i="3"/>
  <c r="CW35" i="3" s="1"/>
  <c r="CX35" i="3"/>
  <c r="DI35" i="3" s="1"/>
  <c r="CY35" i="3"/>
  <c r="CZ35" i="3"/>
  <c r="DA35" i="3"/>
  <c r="DB35" i="3"/>
  <c r="DC35" i="3"/>
  <c r="DF35" i="3"/>
  <c r="DG35" i="3"/>
  <c r="DJ35" i="3" s="1"/>
  <c r="DH35" i="3"/>
  <c r="A36" i="3"/>
  <c r="Y36" i="3"/>
  <c r="CX36" i="3"/>
  <c r="DI36" i="3" s="1"/>
  <c r="CY36" i="3"/>
  <c r="CZ36" i="3"/>
  <c r="DA36" i="3"/>
  <c r="DB36" i="3"/>
  <c r="DC36" i="3"/>
  <c r="DF36" i="3"/>
  <c r="DJ36" i="3" s="1"/>
  <c r="DG36" i="3"/>
  <c r="DH36" i="3"/>
  <c r="A37" i="3"/>
  <c r="Y37" i="3"/>
  <c r="CX37" i="3" s="1"/>
  <c r="CY37" i="3"/>
  <c r="CZ37" i="3"/>
  <c r="DA37" i="3"/>
  <c r="DB37" i="3"/>
  <c r="DC37" i="3"/>
  <c r="A38" i="3"/>
  <c r="Y38" i="3"/>
  <c r="CU38" i="3"/>
  <c r="CY38" i="3"/>
  <c r="CZ38" i="3"/>
  <c r="DA38" i="3"/>
  <c r="DB38" i="3"/>
  <c r="DC38" i="3"/>
  <c r="A39" i="3"/>
  <c r="Y39" i="3"/>
  <c r="CX39" i="3"/>
  <c r="CY39" i="3"/>
  <c r="CZ39" i="3"/>
  <c r="DA39" i="3"/>
  <c r="DB39" i="3"/>
  <c r="DC39" i="3"/>
  <c r="A40" i="3"/>
  <c r="Y40" i="3"/>
  <c r="CX40" i="3"/>
  <c r="CY40" i="3"/>
  <c r="CZ40" i="3"/>
  <c r="DB40" i="3" s="1"/>
  <c r="DA40" i="3"/>
  <c r="DC40" i="3"/>
  <c r="DF40" i="3"/>
  <c r="DJ40" i="3" s="1"/>
  <c r="DG40" i="3"/>
  <c r="DH40" i="3"/>
  <c r="DI40" i="3"/>
  <c r="A41" i="3"/>
  <c r="Y41" i="3"/>
  <c r="CU41" i="3"/>
  <c r="CV41" i="3"/>
  <c r="CX41" i="3"/>
  <c r="CY41" i="3"/>
  <c r="CZ41" i="3"/>
  <c r="DA41" i="3"/>
  <c r="DB41" i="3"/>
  <c r="DC41" i="3"/>
  <c r="A42" i="3"/>
  <c r="Y42" i="3"/>
  <c r="CX42" i="3" s="1"/>
  <c r="CY42" i="3"/>
  <c r="CZ42" i="3"/>
  <c r="DA42" i="3"/>
  <c r="DB42" i="3"/>
  <c r="DC42" i="3"/>
  <c r="A43" i="3"/>
  <c r="Y43" i="3"/>
  <c r="CX43" i="3"/>
  <c r="CY43" i="3"/>
  <c r="CZ43" i="3"/>
  <c r="DB43" i="3" s="1"/>
  <c r="DA43" i="3"/>
  <c r="DC43" i="3"/>
  <c r="A44" i="3"/>
  <c r="Y44" i="3"/>
  <c r="CU44" i="3"/>
  <c r="CY44" i="3"/>
  <c r="CZ44" i="3"/>
  <c r="DB44" i="3" s="1"/>
  <c r="DA44" i="3"/>
  <c r="DC44" i="3"/>
  <c r="A45" i="3"/>
  <c r="Y45" i="3"/>
  <c r="CX45" i="3"/>
  <c r="CY45" i="3"/>
  <c r="CZ45" i="3"/>
  <c r="DB45" i="3" s="1"/>
  <c r="DA45" i="3"/>
  <c r="DC45" i="3"/>
  <c r="A46" i="3"/>
  <c r="Y46" i="3"/>
  <c r="CU46" i="3"/>
  <c r="CY46" i="3"/>
  <c r="CZ46" i="3"/>
  <c r="DA46" i="3"/>
  <c r="DB46" i="3"/>
  <c r="DC46" i="3"/>
  <c r="A47" i="3"/>
  <c r="Y47" i="3"/>
  <c r="CX47" i="3"/>
  <c r="CY47" i="3"/>
  <c r="CZ47" i="3"/>
  <c r="DB47" i="3" s="1"/>
  <c r="DA47" i="3"/>
  <c r="DC47" i="3"/>
  <c r="A48" i="3"/>
  <c r="Y48" i="3"/>
  <c r="CX48" i="3"/>
  <c r="CY48" i="3"/>
  <c r="CZ48" i="3"/>
  <c r="DA48" i="3"/>
  <c r="DB48" i="3"/>
  <c r="DC48" i="3"/>
  <c r="DF48" i="3"/>
  <c r="DG48" i="3"/>
  <c r="DH48" i="3"/>
  <c r="DI48" i="3"/>
  <c r="DJ48" i="3"/>
  <c r="A49" i="3"/>
  <c r="Y49" i="3"/>
  <c r="CY49" i="3"/>
  <c r="CZ49" i="3"/>
  <c r="DA49" i="3"/>
  <c r="DB49" i="3"/>
  <c r="DC49" i="3"/>
  <c r="A50" i="3"/>
  <c r="Y50" i="3"/>
  <c r="CU50" i="3"/>
  <c r="CV50" i="3"/>
  <c r="CX50" i="3"/>
  <c r="CY50" i="3"/>
  <c r="CZ50" i="3"/>
  <c r="DA50" i="3"/>
  <c r="DB50" i="3"/>
  <c r="DC50" i="3"/>
  <c r="DF50" i="3"/>
  <c r="DI50" i="3"/>
  <c r="DJ50" i="3"/>
  <c r="A51" i="3"/>
  <c r="Y51" i="3"/>
  <c r="CU51" i="3"/>
  <c r="CV51" i="3"/>
  <c r="CX51" i="3"/>
  <c r="CY51" i="3"/>
  <c r="CZ51" i="3"/>
  <c r="DA51" i="3"/>
  <c r="DB51" i="3"/>
  <c r="DC51" i="3"/>
  <c r="DH51" i="3"/>
  <c r="A52" i="3"/>
  <c r="Y52" i="3"/>
  <c r="CX52" i="3" s="1"/>
  <c r="CW52" i="3"/>
  <c r="CY52" i="3"/>
  <c r="CZ52" i="3"/>
  <c r="DA52" i="3"/>
  <c r="DB52" i="3"/>
  <c r="DC52" i="3"/>
  <c r="DF52" i="3"/>
  <c r="DG52" i="3"/>
  <c r="DJ52" i="3" s="1"/>
  <c r="DH52" i="3"/>
  <c r="DI52" i="3"/>
  <c r="A53" i="3"/>
  <c r="Y53" i="3"/>
  <c r="CW53" i="3"/>
  <c r="CX53" i="3"/>
  <c r="DI53" i="3" s="1"/>
  <c r="CY53" i="3"/>
  <c r="CZ53" i="3"/>
  <c r="DA53" i="3"/>
  <c r="DB53" i="3"/>
  <c r="DC53" i="3"/>
  <c r="DF53" i="3"/>
  <c r="DG53" i="3"/>
  <c r="DJ53" i="3" s="1"/>
  <c r="DH53" i="3"/>
  <c r="A54" i="3"/>
  <c r="Y54" i="3"/>
  <c r="CX54" i="3"/>
  <c r="CY54" i="3"/>
  <c r="CZ54" i="3"/>
  <c r="DB54" i="3" s="1"/>
  <c r="DA54" i="3"/>
  <c r="DC54" i="3"/>
  <c r="DF54" i="3"/>
  <c r="DJ54" i="3" s="1"/>
  <c r="DG54" i="3"/>
  <c r="A55" i="3"/>
  <c r="Y55" i="3"/>
  <c r="CU55" i="3"/>
  <c r="CY55" i="3"/>
  <c r="CZ55" i="3"/>
  <c r="DB55" i="3" s="1"/>
  <c r="DA55" i="3"/>
  <c r="DC55" i="3"/>
  <c r="A56" i="3"/>
  <c r="Y56" i="3"/>
  <c r="CW56" i="3"/>
  <c r="CX56" i="3"/>
  <c r="DI56" i="3" s="1"/>
  <c r="CY56" i="3"/>
  <c r="CZ56" i="3"/>
  <c r="DA56" i="3"/>
  <c r="DB56" i="3"/>
  <c r="DC56" i="3"/>
  <c r="A57" i="3"/>
  <c r="Y57" i="3"/>
  <c r="CU57" i="3"/>
  <c r="CV57" i="3"/>
  <c r="CX57" i="3"/>
  <c r="CY57" i="3"/>
  <c r="CZ57" i="3"/>
  <c r="DA57" i="3"/>
  <c r="DB57" i="3"/>
  <c r="DC57" i="3"/>
  <c r="A58" i="3"/>
  <c r="Y58" i="3"/>
  <c r="CU58" i="3"/>
  <c r="CV58" i="3"/>
  <c r="CX58" i="3"/>
  <c r="CY58" i="3"/>
  <c r="CZ58" i="3"/>
  <c r="DB58" i="3" s="1"/>
  <c r="DA58" i="3"/>
  <c r="DC58" i="3"/>
  <c r="A59" i="3"/>
  <c r="Y59" i="3"/>
  <c r="CW59" i="3"/>
  <c r="CX59" i="3"/>
  <c r="CY59" i="3"/>
  <c r="CZ59" i="3"/>
  <c r="DB59" i="3" s="1"/>
  <c r="DA59" i="3"/>
  <c r="DC59" i="3"/>
  <c r="A60" i="3"/>
  <c r="Y60" i="3"/>
  <c r="CX60" i="3"/>
  <c r="DG60" i="3" s="1"/>
  <c r="CY60" i="3"/>
  <c r="CZ60" i="3"/>
  <c r="DA60" i="3"/>
  <c r="DB60" i="3"/>
  <c r="DC60" i="3"/>
  <c r="DF60" i="3"/>
  <c r="DH60" i="3"/>
  <c r="DI60" i="3"/>
  <c r="DJ60" i="3"/>
  <c r="A61" i="3"/>
  <c r="Y61" i="3"/>
  <c r="CU61" i="3"/>
  <c r="CY61" i="3"/>
  <c r="CZ61" i="3"/>
  <c r="DA61" i="3"/>
  <c r="DB61" i="3"/>
  <c r="DC61" i="3"/>
  <c r="A62" i="3"/>
  <c r="Y62" i="3"/>
  <c r="CX62" i="3" s="1"/>
  <c r="DI62" i="3" s="1"/>
  <c r="CY62" i="3"/>
  <c r="CZ62" i="3"/>
  <c r="DA62" i="3"/>
  <c r="DB62" i="3"/>
  <c r="DC62" i="3"/>
  <c r="DF62" i="3"/>
  <c r="DJ62" i="3" s="1"/>
  <c r="DG62" i="3"/>
  <c r="DH62" i="3"/>
  <c r="A63" i="3"/>
  <c r="Y63" i="3"/>
  <c r="CU63" i="3"/>
  <c r="CY63" i="3"/>
  <c r="CZ63" i="3"/>
  <c r="DA63" i="3"/>
  <c r="DB63" i="3"/>
  <c r="DC63" i="3"/>
  <c r="A64" i="3"/>
  <c r="Y64" i="3"/>
  <c r="CX64" i="3" s="1"/>
  <c r="CW64" i="3"/>
  <c r="CY64" i="3"/>
  <c r="CZ64" i="3"/>
  <c r="DB64" i="3" s="1"/>
  <c r="DA64" i="3"/>
  <c r="DC64" i="3"/>
  <c r="DG64" i="3"/>
  <c r="DJ64" i="3" s="1"/>
  <c r="DH64" i="3"/>
  <c r="A65" i="3"/>
  <c r="Y65" i="3"/>
  <c r="CX65" i="3" s="1"/>
  <c r="DI65" i="3" s="1"/>
  <c r="DJ65" i="3" s="1"/>
  <c r="CU65" i="3"/>
  <c r="CV65" i="3"/>
  <c r="CY65" i="3"/>
  <c r="CZ65" i="3"/>
  <c r="DA65" i="3"/>
  <c r="DB65" i="3"/>
  <c r="DC65" i="3"/>
  <c r="A66" i="3"/>
  <c r="Y66" i="3"/>
  <c r="CY66" i="3"/>
  <c r="CZ66" i="3"/>
  <c r="DA66" i="3"/>
  <c r="DB66" i="3"/>
  <c r="DC66" i="3"/>
  <c r="A67" i="3"/>
  <c r="Y67" i="3"/>
  <c r="CX67" i="3" s="1"/>
  <c r="DH67" i="3" s="1"/>
  <c r="CY67" i="3"/>
  <c r="CZ67" i="3"/>
  <c r="DA67" i="3"/>
  <c r="DB67" i="3"/>
  <c r="DC67" i="3"/>
  <c r="A68" i="3"/>
  <c r="Y68" i="3"/>
  <c r="CV68" i="3"/>
  <c r="CX68" i="3"/>
  <c r="CY68" i="3"/>
  <c r="CZ68" i="3"/>
  <c r="DA68" i="3"/>
  <c r="DB68" i="3"/>
  <c r="DC68" i="3"/>
  <c r="DF68" i="3"/>
  <c r="DG68" i="3"/>
  <c r="DH68" i="3"/>
  <c r="DI68" i="3"/>
  <c r="DJ68" i="3"/>
  <c r="A69" i="3"/>
  <c r="Y69" i="3"/>
  <c r="CX69" i="3"/>
  <c r="CY69" i="3"/>
  <c r="CZ69" i="3"/>
  <c r="DB69" i="3" s="1"/>
  <c r="DA69" i="3"/>
  <c r="DC69" i="3"/>
  <c r="DI69" i="3"/>
  <c r="A70" i="3"/>
  <c r="Y70" i="3"/>
  <c r="CY70" i="3"/>
  <c r="CZ70" i="3"/>
  <c r="DA70" i="3"/>
  <c r="DB70" i="3"/>
  <c r="DC70" i="3"/>
  <c r="A71" i="3"/>
  <c r="Y71" i="3"/>
  <c r="CY71" i="3"/>
  <c r="CZ71" i="3"/>
  <c r="DA71" i="3"/>
  <c r="DB71" i="3"/>
  <c r="DC71" i="3"/>
  <c r="A72" i="3"/>
  <c r="Y72" i="3"/>
  <c r="CU72" i="3"/>
  <c r="CV72" i="3"/>
  <c r="CX72" i="3"/>
  <c r="CY72" i="3"/>
  <c r="CZ72" i="3"/>
  <c r="DA72" i="3"/>
  <c r="DB72" i="3"/>
  <c r="DC72" i="3"/>
  <c r="DF72" i="3"/>
  <c r="DG72" i="3"/>
  <c r="A73" i="3"/>
  <c r="Y73" i="3"/>
  <c r="CW73" i="3" s="1"/>
  <c r="CX73" i="3"/>
  <c r="CY73" i="3"/>
  <c r="CZ73" i="3"/>
  <c r="DA73" i="3"/>
  <c r="DB73" i="3"/>
  <c r="DC73" i="3"/>
  <c r="DF73" i="3"/>
  <c r="DG73" i="3"/>
  <c r="DH73" i="3"/>
  <c r="DI73" i="3"/>
  <c r="DJ73" i="3"/>
  <c r="A74" i="3"/>
  <c r="Y74" i="3"/>
  <c r="CX74" i="3"/>
  <c r="CY74" i="3"/>
  <c r="CZ74" i="3"/>
  <c r="DB74" i="3" s="1"/>
  <c r="DA74" i="3"/>
  <c r="DC74" i="3"/>
  <c r="DF74" i="3"/>
  <c r="DJ74" i="3" s="1"/>
  <c r="DG74" i="3"/>
  <c r="A75" i="3"/>
  <c r="Y75" i="3"/>
  <c r="CU75" i="3"/>
  <c r="CV75" i="3"/>
  <c r="CX75" i="3"/>
  <c r="DF75" i="3" s="1"/>
  <c r="CY75" i="3"/>
  <c r="CZ75" i="3"/>
  <c r="DB75" i="3" s="1"/>
  <c r="DA75" i="3"/>
  <c r="DC75" i="3"/>
  <c r="DG75" i="3"/>
  <c r="DH75" i="3"/>
  <c r="DI75" i="3"/>
  <c r="DJ75" i="3"/>
  <c r="A76" i="3"/>
  <c r="Y76" i="3"/>
  <c r="CV76" i="3"/>
  <c r="CY76" i="3"/>
  <c r="CZ76" i="3"/>
  <c r="DB76" i="3" s="1"/>
  <c r="DA76" i="3"/>
  <c r="DC76" i="3"/>
  <c r="A77" i="3"/>
  <c r="Y77" i="3"/>
  <c r="CY77" i="3"/>
  <c r="CZ77" i="3"/>
  <c r="DA77" i="3"/>
  <c r="DB77" i="3"/>
  <c r="DC77" i="3"/>
  <c r="A78" i="3"/>
  <c r="Y78" i="3"/>
  <c r="CY78" i="3"/>
  <c r="CZ78" i="3"/>
  <c r="DB78" i="3" s="1"/>
  <c r="DA78" i="3"/>
  <c r="DC78" i="3"/>
  <c r="A79" i="3"/>
  <c r="Y79" i="3"/>
  <c r="CY79" i="3"/>
  <c r="CZ79" i="3"/>
  <c r="DA79" i="3"/>
  <c r="DB79" i="3"/>
  <c r="DC79" i="3"/>
  <c r="A80" i="3"/>
  <c r="Y80" i="3"/>
  <c r="CY80" i="3"/>
  <c r="CZ80" i="3"/>
  <c r="DA80" i="3"/>
  <c r="DB80" i="3"/>
  <c r="DC80" i="3"/>
  <c r="A81" i="3"/>
  <c r="Y81" i="3"/>
  <c r="CU81" i="3"/>
  <c r="CY81" i="3"/>
  <c r="CZ81" i="3"/>
  <c r="DA81" i="3"/>
  <c r="DB81" i="3"/>
  <c r="DC81" i="3"/>
  <c r="A82" i="3"/>
  <c r="Y82" i="3"/>
  <c r="CU82" i="3"/>
  <c r="CV82" i="3"/>
  <c r="CX82" i="3"/>
  <c r="CY82" i="3"/>
  <c r="CZ82" i="3"/>
  <c r="DA82" i="3"/>
  <c r="DB82" i="3"/>
  <c r="DC82" i="3"/>
  <c r="A83" i="3"/>
  <c r="Y83" i="3"/>
  <c r="CW83" i="3"/>
  <c r="CX83" i="3"/>
  <c r="DF83" i="3" s="1"/>
  <c r="CY83" i="3"/>
  <c r="CZ83" i="3"/>
  <c r="DA83" i="3"/>
  <c r="DB83" i="3"/>
  <c r="DC83" i="3"/>
  <c r="DG83" i="3"/>
  <c r="DJ83" i="3" s="1"/>
  <c r="DH83" i="3"/>
  <c r="DI83" i="3"/>
  <c r="A84" i="3"/>
  <c r="Y84" i="3"/>
  <c r="CX84" i="3"/>
  <c r="CY84" i="3"/>
  <c r="CZ84" i="3"/>
  <c r="DA84" i="3"/>
  <c r="DB84" i="3"/>
  <c r="DC84" i="3"/>
  <c r="D12" i="1"/>
  <c r="B18" i="1"/>
  <c r="E18" i="1"/>
  <c r="G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B22" i="1"/>
  <c r="E22" i="1"/>
  <c r="F22" i="1"/>
  <c r="G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B26" i="1"/>
  <c r="C26" i="1"/>
  <c r="D26" i="1"/>
  <c r="E26" i="1"/>
  <c r="F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C30" i="1"/>
  <c r="D30" i="1"/>
  <c r="E30" i="1"/>
  <c r="F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C32" i="1"/>
  <c r="D32" i="1"/>
  <c r="P32" i="1"/>
  <c r="Q32" i="1"/>
  <c r="S32" i="1"/>
  <c r="T32" i="1"/>
  <c r="AC32" i="1"/>
  <c r="CQ32" i="1" s="1"/>
  <c r="AD32" i="1"/>
  <c r="AE32" i="1"/>
  <c r="AF32" i="1"/>
  <c r="AG32" i="1"/>
  <c r="CU32" i="1" s="1"/>
  <c r="AH32" i="1"/>
  <c r="AI32" i="1"/>
  <c r="AJ32" i="1"/>
  <c r="CR32" i="1"/>
  <c r="CS32" i="1"/>
  <c r="R32" i="1" s="1"/>
  <c r="GK32" i="1" s="1"/>
  <c r="CT32" i="1"/>
  <c r="CV32" i="1"/>
  <c r="U32" i="1" s="1"/>
  <c r="CW32" i="1"/>
  <c r="V32" i="1" s="1"/>
  <c r="CX32" i="1"/>
  <c r="W32" i="1" s="1"/>
  <c r="CY32" i="1"/>
  <c r="X32" i="1" s="1"/>
  <c r="CZ32" i="1"/>
  <c r="Y32" i="1" s="1"/>
  <c r="GL32" i="1"/>
  <c r="GN32" i="1"/>
  <c r="GO32" i="1"/>
  <c r="GV32" i="1"/>
  <c r="HC32" i="1" s="1"/>
  <c r="GX32" i="1" s="1"/>
  <c r="C33" i="1"/>
  <c r="D33" i="1"/>
  <c r="Q33" i="1"/>
  <c r="R33" i="1"/>
  <c r="GK33" i="1" s="1"/>
  <c r="S33" i="1"/>
  <c r="Y33" i="1"/>
  <c r="AC33" i="1"/>
  <c r="AE33" i="1"/>
  <c r="AD33" i="1" s="1"/>
  <c r="AF33" i="1"/>
  <c r="AG33" i="1"/>
  <c r="AH33" i="1"/>
  <c r="CV33" i="1" s="1"/>
  <c r="U33" i="1" s="1"/>
  <c r="AI33" i="1"/>
  <c r="CW33" i="1" s="1"/>
  <c r="V33" i="1" s="1"/>
  <c r="AJ33" i="1"/>
  <c r="CX33" i="1" s="1"/>
  <c r="W33" i="1" s="1"/>
  <c r="CR33" i="1"/>
  <c r="CS33" i="1"/>
  <c r="CT33" i="1"/>
  <c r="CU33" i="1"/>
  <c r="T33" i="1" s="1"/>
  <c r="CY33" i="1"/>
  <c r="X33" i="1" s="1"/>
  <c r="CZ33" i="1"/>
  <c r="GL33" i="1"/>
  <c r="GN33" i="1"/>
  <c r="GO33" i="1"/>
  <c r="GV33" i="1"/>
  <c r="HC33" i="1"/>
  <c r="GX33" i="1" s="1"/>
  <c r="C34" i="1"/>
  <c r="D34" i="1"/>
  <c r="W34" i="1"/>
  <c r="AC34" i="1"/>
  <c r="CQ34" i="1" s="1"/>
  <c r="P34" i="1" s="1"/>
  <c r="AE34" i="1"/>
  <c r="AD34" i="1" s="1"/>
  <c r="AF34" i="1"/>
  <c r="CT34" i="1" s="1"/>
  <c r="S34" i="1" s="1"/>
  <c r="CY34" i="1" s="1"/>
  <c r="X34" i="1" s="1"/>
  <c r="AG34" i="1"/>
  <c r="CU34" i="1" s="1"/>
  <c r="T34" i="1" s="1"/>
  <c r="AH34" i="1"/>
  <c r="AI34" i="1"/>
  <c r="AJ34" i="1"/>
  <c r="CV34" i="1"/>
  <c r="U34" i="1" s="1"/>
  <c r="CW34" i="1"/>
  <c r="V34" i="1" s="1"/>
  <c r="CX34" i="1"/>
  <c r="GL34" i="1"/>
  <c r="GN34" i="1"/>
  <c r="GO34" i="1"/>
  <c r="GV34" i="1"/>
  <c r="HC34" i="1"/>
  <c r="GX34" i="1" s="1"/>
  <c r="I35" i="1"/>
  <c r="P35" i="1"/>
  <c r="T35" i="1"/>
  <c r="AG52" i="1" s="1"/>
  <c r="U35" i="1"/>
  <c r="V35" i="1"/>
  <c r="W35" i="1"/>
  <c r="AC35" i="1"/>
  <c r="CQ35" i="1" s="1"/>
  <c r="AE35" i="1"/>
  <c r="AF35" i="1"/>
  <c r="AG35" i="1"/>
  <c r="AH35" i="1"/>
  <c r="AI35" i="1"/>
  <c r="CW35" i="1" s="1"/>
  <c r="AJ35" i="1"/>
  <c r="CX35" i="1" s="1"/>
  <c r="CT35" i="1"/>
  <c r="S35" i="1" s="1"/>
  <c r="CY35" i="1" s="1"/>
  <c r="X35" i="1" s="1"/>
  <c r="CU35" i="1"/>
  <c r="CV35" i="1"/>
  <c r="CZ35" i="1"/>
  <c r="Y35" i="1" s="1"/>
  <c r="GL35" i="1"/>
  <c r="GN35" i="1"/>
  <c r="GO35" i="1"/>
  <c r="GV35" i="1"/>
  <c r="HC35" i="1"/>
  <c r="GX35" i="1" s="1"/>
  <c r="C36" i="1"/>
  <c r="D36" i="1"/>
  <c r="S36" i="1"/>
  <c r="AC36" i="1"/>
  <c r="AD36" i="1"/>
  <c r="AB36" i="1" s="1"/>
  <c r="AE36" i="1"/>
  <c r="AF36" i="1"/>
  <c r="CT36" i="1" s="1"/>
  <c r="AG36" i="1"/>
  <c r="CU36" i="1" s="1"/>
  <c r="T36" i="1" s="1"/>
  <c r="AH36" i="1"/>
  <c r="AI36" i="1"/>
  <c r="AJ36" i="1"/>
  <c r="CX36" i="1" s="1"/>
  <c r="W36" i="1" s="1"/>
  <c r="CQ36" i="1"/>
  <c r="P36" i="1" s="1"/>
  <c r="CP36" i="1" s="1"/>
  <c r="O36" i="1" s="1"/>
  <c r="CR36" i="1"/>
  <c r="Q36" i="1" s="1"/>
  <c r="CS36" i="1"/>
  <c r="R36" i="1" s="1"/>
  <c r="GK36" i="1" s="1"/>
  <c r="CV36" i="1"/>
  <c r="U36" i="1" s="1"/>
  <c r="CW36" i="1"/>
  <c r="V36" i="1" s="1"/>
  <c r="GL36" i="1"/>
  <c r="GN36" i="1"/>
  <c r="GO36" i="1"/>
  <c r="GV36" i="1"/>
  <c r="HC36" i="1"/>
  <c r="GX36" i="1" s="1"/>
  <c r="C37" i="1"/>
  <c r="D37" i="1"/>
  <c r="U37" i="1"/>
  <c r="V37" i="1"/>
  <c r="W37" i="1"/>
  <c r="AB37" i="1"/>
  <c r="AC37" i="1"/>
  <c r="AD37" i="1"/>
  <c r="AE37" i="1"/>
  <c r="AF37" i="1"/>
  <c r="AG37" i="1"/>
  <c r="AH37" i="1"/>
  <c r="CV37" i="1" s="1"/>
  <c r="AI37" i="1"/>
  <c r="CW37" i="1" s="1"/>
  <c r="AJ37" i="1"/>
  <c r="CQ37" i="1"/>
  <c r="P37" i="1" s="1"/>
  <c r="CR37" i="1"/>
  <c r="Q37" i="1" s="1"/>
  <c r="CS37" i="1"/>
  <c r="R37" i="1" s="1"/>
  <c r="GK37" i="1" s="1"/>
  <c r="CT37" i="1"/>
  <c r="S37" i="1" s="1"/>
  <c r="CY37" i="1" s="1"/>
  <c r="X37" i="1" s="1"/>
  <c r="CU37" i="1"/>
  <c r="T37" i="1" s="1"/>
  <c r="CX37" i="1"/>
  <c r="GL37" i="1"/>
  <c r="GN37" i="1"/>
  <c r="GO37" i="1"/>
  <c r="GV37" i="1"/>
  <c r="HC37" i="1"/>
  <c r="GX37" i="1" s="1"/>
  <c r="C38" i="1"/>
  <c r="D38" i="1"/>
  <c r="AC38" i="1"/>
  <c r="CQ38" i="1" s="1"/>
  <c r="P38" i="1" s="1"/>
  <c r="AE38" i="1"/>
  <c r="AD38" i="1" s="1"/>
  <c r="AF38" i="1"/>
  <c r="CT38" i="1" s="1"/>
  <c r="S38" i="1" s="1"/>
  <c r="AG38" i="1"/>
  <c r="AH38" i="1"/>
  <c r="CV38" i="1" s="1"/>
  <c r="U38" i="1" s="1"/>
  <c r="AI38" i="1"/>
  <c r="CW38" i="1" s="1"/>
  <c r="V38" i="1" s="1"/>
  <c r="AJ38" i="1"/>
  <c r="CX38" i="1" s="1"/>
  <c r="W38" i="1" s="1"/>
  <c r="CU38" i="1"/>
  <c r="T38" i="1" s="1"/>
  <c r="GL38" i="1"/>
  <c r="GN38" i="1"/>
  <c r="GO38" i="1"/>
  <c r="GV38" i="1"/>
  <c r="HC38" i="1"/>
  <c r="GX38" i="1" s="1"/>
  <c r="C39" i="1"/>
  <c r="D39" i="1"/>
  <c r="S39" i="1"/>
  <c r="W39" i="1"/>
  <c r="AC39" i="1"/>
  <c r="AD39" i="1"/>
  <c r="AE39" i="1"/>
  <c r="AF39" i="1"/>
  <c r="CT39" i="1" s="1"/>
  <c r="AG39" i="1"/>
  <c r="AH39" i="1"/>
  <c r="AI39" i="1"/>
  <c r="AJ39" i="1"/>
  <c r="CU39" i="1"/>
  <c r="T39" i="1" s="1"/>
  <c r="CV39" i="1"/>
  <c r="U39" i="1" s="1"/>
  <c r="CW39" i="1"/>
  <c r="V39" i="1" s="1"/>
  <c r="CX39" i="1"/>
  <c r="GL39" i="1"/>
  <c r="GN39" i="1"/>
  <c r="GO39" i="1"/>
  <c r="GV39" i="1"/>
  <c r="HC39" i="1"/>
  <c r="GX39" i="1" s="1"/>
  <c r="C40" i="1"/>
  <c r="D40" i="1"/>
  <c r="P40" i="1"/>
  <c r="CP40" i="1" s="1"/>
  <c r="O40" i="1" s="1"/>
  <c r="U40" i="1"/>
  <c r="V40" i="1"/>
  <c r="AC40" i="1"/>
  <c r="AE40" i="1"/>
  <c r="AD40" i="1" s="1"/>
  <c r="AF40" i="1"/>
  <c r="AG40" i="1"/>
  <c r="AH40" i="1"/>
  <c r="CV40" i="1" s="1"/>
  <c r="AI40" i="1"/>
  <c r="AJ40" i="1"/>
  <c r="CQ40" i="1"/>
  <c r="CR40" i="1"/>
  <c r="Q40" i="1" s="1"/>
  <c r="CS40" i="1"/>
  <c r="R40" i="1" s="1"/>
  <c r="GK40" i="1" s="1"/>
  <c r="CT40" i="1"/>
  <c r="S40" i="1" s="1"/>
  <c r="CU40" i="1"/>
  <c r="T40" i="1" s="1"/>
  <c r="CW40" i="1"/>
  <c r="CX40" i="1"/>
  <c r="W40" i="1" s="1"/>
  <c r="GL40" i="1"/>
  <c r="GN40" i="1"/>
  <c r="GO40" i="1"/>
  <c r="GV40" i="1"/>
  <c r="GX40" i="1"/>
  <c r="HC40" i="1"/>
  <c r="C41" i="1"/>
  <c r="D41" i="1"/>
  <c r="Q41" i="1"/>
  <c r="R41" i="1"/>
  <c r="GK41" i="1" s="1"/>
  <c r="S41" i="1"/>
  <c r="T41" i="1"/>
  <c r="U41" i="1"/>
  <c r="V41" i="1"/>
  <c r="X41" i="1"/>
  <c r="Y41" i="1"/>
  <c r="AC41" i="1"/>
  <c r="AE41" i="1"/>
  <c r="CR41" i="1" s="1"/>
  <c r="AF41" i="1"/>
  <c r="AG41" i="1"/>
  <c r="AH41" i="1"/>
  <c r="AI41" i="1"/>
  <c r="AJ41" i="1"/>
  <c r="CX41" i="1" s="1"/>
  <c r="W41" i="1" s="1"/>
  <c r="CQ41" i="1"/>
  <c r="P41" i="1" s="1"/>
  <c r="CP41" i="1" s="1"/>
  <c r="O41" i="1" s="1"/>
  <c r="GM41" i="1" s="1"/>
  <c r="GP41" i="1" s="1"/>
  <c r="CS41" i="1"/>
  <c r="CT41" i="1"/>
  <c r="CU41" i="1"/>
  <c r="CV41" i="1"/>
  <c r="CW41" i="1"/>
  <c r="CY41" i="1"/>
  <c r="CZ41" i="1"/>
  <c r="GL41" i="1"/>
  <c r="GN41" i="1"/>
  <c r="GO41" i="1"/>
  <c r="GV41" i="1"/>
  <c r="HC41" i="1" s="1"/>
  <c r="GX41" i="1"/>
  <c r="C42" i="1"/>
  <c r="D42" i="1"/>
  <c r="P42" i="1"/>
  <c r="R42" i="1"/>
  <c r="GK42" i="1" s="1"/>
  <c r="S42" i="1"/>
  <c r="CY42" i="1" s="1"/>
  <c r="X42" i="1" s="1"/>
  <c r="T42" i="1"/>
  <c r="U42" i="1"/>
  <c r="V42" i="1"/>
  <c r="W42" i="1"/>
  <c r="AC42" i="1"/>
  <c r="CQ42" i="1" s="1"/>
  <c r="AD42" i="1"/>
  <c r="AE42" i="1"/>
  <c r="CS42" i="1" s="1"/>
  <c r="AF42" i="1"/>
  <c r="CT42" i="1" s="1"/>
  <c r="AG42" i="1"/>
  <c r="CU42" i="1" s="1"/>
  <c r="AH42" i="1"/>
  <c r="CV42" i="1" s="1"/>
  <c r="AI42" i="1"/>
  <c r="CW42" i="1" s="1"/>
  <c r="AJ42" i="1"/>
  <c r="CR42" i="1"/>
  <c r="Q42" i="1" s="1"/>
  <c r="CX42" i="1"/>
  <c r="GL42" i="1"/>
  <c r="GN42" i="1"/>
  <c r="GO42" i="1"/>
  <c r="GV42" i="1"/>
  <c r="HC42" i="1"/>
  <c r="GX42" i="1" s="1"/>
  <c r="C43" i="1"/>
  <c r="D43" i="1"/>
  <c r="U43" i="1"/>
  <c r="Y43" i="1"/>
  <c r="AB43" i="1"/>
  <c r="AC43" i="1"/>
  <c r="AE43" i="1"/>
  <c r="AD43" i="1" s="1"/>
  <c r="AF43" i="1"/>
  <c r="CT43" i="1" s="1"/>
  <c r="S43" i="1" s="1"/>
  <c r="AG43" i="1"/>
  <c r="CU43" i="1" s="1"/>
  <c r="T43" i="1" s="1"/>
  <c r="AH43" i="1"/>
  <c r="CV43" i="1" s="1"/>
  <c r="AI43" i="1"/>
  <c r="AJ43" i="1"/>
  <c r="CX43" i="1" s="1"/>
  <c r="W43" i="1" s="1"/>
  <c r="CQ43" i="1"/>
  <c r="P43" i="1" s="1"/>
  <c r="CP43" i="1" s="1"/>
  <c r="O43" i="1" s="1"/>
  <c r="GM43" i="1" s="1"/>
  <c r="GP43" i="1" s="1"/>
  <c r="CR43" i="1"/>
  <c r="Q43" i="1" s="1"/>
  <c r="CS43" i="1"/>
  <c r="R43" i="1" s="1"/>
  <c r="GK43" i="1" s="1"/>
  <c r="CW43" i="1"/>
  <c r="V43" i="1" s="1"/>
  <c r="CY43" i="1"/>
  <c r="X43" i="1" s="1"/>
  <c r="CZ43" i="1"/>
  <c r="GL43" i="1"/>
  <c r="GN43" i="1"/>
  <c r="GO43" i="1"/>
  <c r="GV43" i="1"/>
  <c r="HC43" i="1" s="1"/>
  <c r="GX43" i="1"/>
  <c r="C44" i="1"/>
  <c r="D44" i="1"/>
  <c r="P44" i="1"/>
  <c r="S44" i="1"/>
  <c r="W44" i="1"/>
  <c r="AC44" i="1"/>
  <c r="CQ44" i="1" s="1"/>
  <c r="AE44" i="1"/>
  <c r="AF44" i="1"/>
  <c r="AG44" i="1"/>
  <c r="AH44" i="1"/>
  <c r="AI44" i="1"/>
  <c r="AJ44" i="1"/>
  <c r="CX44" i="1" s="1"/>
  <c r="CT44" i="1"/>
  <c r="CU44" i="1"/>
  <c r="T44" i="1" s="1"/>
  <c r="CV44" i="1"/>
  <c r="U44" i="1" s="1"/>
  <c r="CW44" i="1"/>
  <c r="V44" i="1" s="1"/>
  <c r="GL44" i="1"/>
  <c r="GN44" i="1"/>
  <c r="GO44" i="1"/>
  <c r="GV44" i="1"/>
  <c r="HC44" i="1"/>
  <c r="GX44" i="1" s="1"/>
  <c r="C45" i="1"/>
  <c r="D45" i="1"/>
  <c r="AC45" i="1"/>
  <c r="AE45" i="1"/>
  <c r="AF45" i="1"/>
  <c r="CT45" i="1" s="1"/>
  <c r="S45" i="1" s="1"/>
  <c r="CZ45" i="1" s="1"/>
  <c r="Y45" i="1" s="1"/>
  <c r="AG45" i="1"/>
  <c r="CU45" i="1" s="1"/>
  <c r="T45" i="1" s="1"/>
  <c r="AH45" i="1"/>
  <c r="AI45" i="1"/>
  <c r="CW45" i="1" s="1"/>
  <c r="V45" i="1" s="1"/>
  <c r="AJ45" i="1"/>
  <c r="CQ45" i="1"/>
  <c r="P45" i="1" s="1"/>
  <c r="CP45" i="1" s="1"/>
  <c r="O45" i="1" s="1"/>
  <c r="CR45" i="1"/>
  <c r="Q45" i="1" s="1"/>
  <c r="CV45" i="1"/>
  <c r="U45" i="1" s="1"/>
  <c r="CX45" i="1"/>
  <c r="W45" i="1" s="1"/>
  <c r="CY45" i="1"/>
  <c r="X45" i="1" s="1"/>
  <c r="GL45" i="1"/>
  <c r="GN45" i="1"/>
  <c r="GO45" i="1"/>
  <c r="GV45" i="1"/>
  <c r="HC45" i="1"/>
  <c r="GX45" i="1" s="1"/>
  <c r="C46" i="1"/>
  <c r="D46" i="1"/>
  <c r="Q46" i="1"/>
  <c r="R46" i="1"/>
  <c r="GK46" i="1" s="1"/>
  <c r="S46" i="1"/>
  <c r="AC46" i="1"/>
  <c r="CQ46" i="1" s="1"/>
  <c r="P46" i="1" s="1"/>
  <c r="CP46" i="1" s="1"/>
  <c r="O46" i="1" s="1"/>
  <c r="AD46" i="1"/>
  <c r="AE46" i="1"/>
  <c r="AF46" i="1"/>
  <c r="AG46" i="1"/>
  <c r="CU46" i="1" s="1"/>
  <c r="T46" i="1" s="1"/>
  <c r="AH46" i="1"/>
  <c r="CV46" i="1" s="1"/>
  <c r="U46" i="1" s="1"/>
  <c r="AI46" i="1"/>
  <c r="CW46" i="1" s="1"/>
  <c r="V46" i="1" s="1"/>
  <c r="AJ46" i="1"/>
  <c r="CX46" i="1" s="1"/>
  <c r="W46" i="1" s="1"/>
  <c r="CR46" i="1"/>
  <c r="CS46" i="1"/>
  <c r="CT46" i="1"/>
  <c r="GL46" i="1"/>
  <c r="GN46" i="1"/>
  <c r="GO46" i="1"/>
  <c r="GV46" i="1"/>
  <c r="GX46" i="1"/>
  <c r="HC46" i="1"/>
  <c r="C47" i="1"/>
  <c r="D47" i="1"/>
  <c r="P47" i="1"/>
  <c r="CP47" i="1" s="1"/>
  <c r="O47" i="1" s="1"/>
  <c r="Q47" i="1"/>
  <c r="R47" i="1"/>
  <c r="GK47" i="1" s="1"/>
  <c r="S47" i="1"/>
  <c r="CY47" i="1" s="1"/>
  <c r="X47" i="1" s="1"/>
  <c r="AC47" i="1"/>
  <c r="AE47" i="1"/>
  <c r="CR47" i="1" s="1"/>
  <c r="AF47" i="1"/>
  <c r="AG47" i="1"/>
  <c r="AH47" i="1"/>
  <c r="AI47" i="1"/>
  <c r="AJ47" i="1"/>
  <c r="CQ47" i="1"/>
  <c r="CS47" i="1"/>
  <c r="CT47" i="1"/>
  <c r="CU47" i="1"/>
  <c r="T47" i="1" s="1"/>
  <c r="CV47" i="1"/>
  <c r="U47" i="1" s="1"/>
  <c r="CW47" i="1"/>
  <c r="V47" i="1" s="1"/>
  <c r="CX47" i="1"/>
  <c r="W47" i="1" s="1"/>
  <c r="GL47" i="1"/>
  <c r="GN47" i="1"/>
  <c r="GO47" i="1"/>
  <c r="GV47" i="1"/>
  <c r="HC47" i="1" s="1"/>
  <c r="GX47" i="1" s="1"/>
  <c r="I48" i="1"/>
  <c r="Q48" i="1"/>
  <c r="R48" i="1"/>
  <c r="S48" i="1"/>
  <c r="CZ48" i="1" s="1"/>
  <c r="Y48" i="1" s="1"/>
  <c r="T48" i="1"/>
  <c r="U48" i="1"/>
  <c r="AC48" i="1"/>
  <c r="CQ48" i="1" s="1"/>
  <c r="P48" i="1" s="1"/>
  <c r="AD48" i="1"/>
  <c r="AE48" i="1"/>
  <c r="AF48" i="1"/>
  <c r="AG48" i="1"/>
  <c r="AH48" i="1"/>
  <c r="AI48" i="1"/>
  <c r="AJ48" i="1"/>
  <c r="CR48" i="1"/>
  <c r="CS48" i="1"/>
  <c r="CT48" i="1"/>
  <c r="CU48" i="1"/>
  <c r="CV48" i="1"/>
  <c r="CW48" i="1"/>
  <c r="V48" i="1" s="1"/>
  <c r="CX48" i="1"/>
  <c r="W48" i="1" s="1"/>
  <c r="CY48" i="1"/>
  <c r="X48" i="1" s="1"/>
  <c r="GK48" i="1"/>
  <c r="GL48" i="1"/>
  <c r="GN48" i="1"/>
  <c r="GO48" i="1"/>
  <c r="GV48" i="1"/>
  <c r="HC48" i="1"/>
  <c r="GX48" i="1" s="1"/>
  <c r="C49" i="1"/>
  <c r="D49" i="1"/>
  <c r="P49" i="1"/>
  <c r="U49" i="1"/>
  <c r="V49" i="1"/>
  <c r="W49" i="1"/>
  <c r="AC49" i="1"/>
  <c r="CQ49" i="1" s="1"/>
  <c r="AE49" i="1"/>
  <c r="CR49" i="1" s="1"/>
  <c r="Q49" i="1" s="1"/>
  <c r="AF49" i="1"/>
  <c r="CT49" i="1" s="1"/>
  <c r="S49" i="1" s="1"/>
  <c r="AG49" i="1"/>
  <c r="CU49" i="1" s="1"/>
  <c r="T49" i="1" s="1"/>
  <c r="AH49" i="1"/>
  <c r="AI49" i="1"/>
  <c r="AJ49" i="1"/>
  <c r="CV49" i="1"/>
  <c r="CW49" i="1"/>
  <c r="CX49" i="1"/>
  <c r="GL49" i="1"/>
  <c r="GN49" i="1"/>
  <c r="GO49" i="1"/>
  <c r="GV49" i="1"/>
  <c r="HC49" i="1" s="1"/>
  <c r="GX49" i="1"/>
  <c r="C50" i="1"/>
  <c r="D50" i="1"/>
  <c r="O50" i="1"/>
  <c r="GM50" i="1" s="1"/>
  <c r="GP50" i="1" s="1"/>
  <c r="U50" i="1"/>
  <c r="V50" i="1"/>
  <c r="W50" i="1"/>
  <c r="X50" i="1"/>
  <c r="Y50" i="1"/>
  <c r="AC50" i="1"/>
  <c r="AE50" i="1"/>
  <c r="CS50" i="1" s="1"/>
  <c r="R50" i="1" s="1"/>
  <c r="AF50" i="1"/>
  <c r="CT50" i="1" s="1"/>
  <c r="S50" i="1" s="1"/>
  <c r="CY50" i="1" s="1"/>
  <c r="AG50" i="1"/>
  <c r="CU50" i="1" s="1"/>
  <c r="T50" i="1" s="1"/>
  <c r="AH50" i="1"/>
  <c r="CV50" i="1" s="1"/>
  <c r="AI50" i="1"/>
  <c r="CW50" i="1" s="1"/>
  <c r="AJ50" i="1"/>
  <c r="CQ50" i="1"/>
  <c r="P50" i="1" s="1"/>
  <c r="CP50" i="1" s="1"/>
  <c r="CR50" i="1"/>
  <c r="Q50" i="1" s="1"/>
  <c r="CX50" i="1"/>
  <c r="CZ50" i="1"/>
  <c r="GK50" i="1"/>
  <c r="GL50" i="1"/>
  <c r="GN50" i="1"/>
  <c r="GO50" i="1"/>
  <c r="GV50" i="1"/>
  <c r="HC50" i="1" s="1"/>
  <c r="GX50" i="1"/>
  <c r="B52" i="1"/>
  <c r="B30" i="1" s="1"/>
  <c r="C52" i="1"/>
  <c r="D52" i="1"/>
  <c r="F52" i="1"/>
  <c r="G52" i="1"/>
  <c r="G30" i="1" s="1"/>
  <c r="BB52" i="1"/>
  <c r="BC52" i="1"/>
  <c r="BX52" i="1"/>
  <c r="BX30" i="1" s="1"/>
  <c r="BY52" i="1"/>
  <c r="CK52" i="1"/>
  <c r="CK30" i="1" s="1"/>
  <c r="CL52" i="1"/>
  <c r="CL30" i="1" s="1"/>
  <c r="CM52" i="1"/>
  <c r="D82" i="1"/>
  <c r="E84" i="1"/>
  <c r="F84" i="1"/>
  <c r="Z84" i="1"/>
  <c r="AA84" i="1"/>
  <c r="AM84" i="1"/>
  <c r="AN84" i="1"/>
  <c r="BE84" i="1"/>
  <c r="BF84" i="1"/>
  <c r="BG84" i="1"/>
  <c r="BH84" i="1"/>
  <c r="BI84" i="1"/>
  <c r="BJ84" i="1"/>
  <c r="BK84" i="1"/>
  <c r="BL84" i="1"/>
  <c r="BM84" i="1"/>
  <c r="BN84" i="1"/>
  <c r="BO84" i="1"/>
  <c r="BP84" i="1"/>
  <c r="BQ84" i="1"/>
  <c r="BR84" i="1"/>
  <c r="BS84" i="1"/>
  <c r="BT84" i="1"/>
  <c r="BU84" i="1"/>
  <c r="BV84" i="1"/>
  <c r="BW84" i="1"/>
  <c r="CM84" i="1"/>
  <c r="CN84" i="1"/>
  <c r="CO84" i="1"/>
  <c r="CP84" i="1"/>
  <c r="CQ84" i="1"/>
  <c r="CR84" i="1"/>
  <c r="CS84" i="1"/>
  <c r="CT84" i="1"/>
  <c r="CU84" i="1"/>
  <c r="CV84" i="1"/>
  <c r="CW84" i="1"/>
  <c r="CX84" i="1"/>
  <c r="CY84" i="1"/>
  <c r="CZ84" i="1"/>
  <c r="DA84" i="1"/>
  <c r="DB84" i="1"/>
  <c r="DC84" i="1"/>
  <c r="DD84" i="1"/>
  <c r="DE84" i="1"/>
  <c r="DF84" i="1"/>
  <c r="DG84" i="1"/>
  <c r="DH84" i="1"/>
  <c r="DI84" i="1"/>
  <c r="DJ84" i="1"/>
  <c r="DK84" i="1"/>
  <c r="DL84" i="1"/>
  <c r="DM84" i="1"/>
  <c r="DN84" i="1"/>
  <c r="DO84" i="1"/>
  <c r="DP84" i="1"/>
  <c r="DQ84" i="1"/>
  <c r="DR84" i="1"/>
  <c r="DS84" i="1"/>
  <c r="DT84" i="1"/>
  <c r="DU84" i="1"/>
  <c r="DV84" i="1"/>
  <c r="DW84" i="1"/>
  <c r="DX84" i="1"/>
  <c r="DY84" i="1"/>
  <c r="DZ84" i="1"/>
  <c r="EA84" i="1"/>
  <c r="EB84" i="1"/>
  <c r="EC84" i="1"/>
  <c r="ED84" i="1"/>
  <c r="EE84" i="1"/>
  <c r="EF84" i="1"/>
  <c r="EG84" i="1"/>
  <c r="EH84" i="1"/>
  <c r="EI84" i="1"/>
  <c r="EJ84" i="1"/>
  <c r="EK84" i="1"/>
  <c r="EL84" i="1"/>
  <c r="EM84" i="1"/>
  <c r="EN84" i="1"/>
  <c r="EO84" i="1"/>
  <c r="EP84" i="1"/>
  <c r="EQ84" i="1"/>
  <c r="ER84" i="1"/>
  <c r="ES84" i="1"/>
  <c r="ET84" i="1"/>
  <c r="EU84" i="1"/>
  <c r="EV84" i="1"/>
  <c r="EW84" i="1"/>
  <c r="EX84" i="1"/>
  <c r="EY84" i="1"/>
  <c r="EZ84" i="1"/>
  <c r="FA84" i="1"/>
  <c r="FB84" i="1"/>
  <c r="FC84" i="1"/>
  <c r="FD84" i="1"/>
  <c r="FE84" i="1"/>
  <c r="FF84" i="1"/>
  <c r="FG84" i="1"/>
  <c r="FH84" i="1"/>
  <c r="FI84" i="1"/>
  <c r="FJ84" i="1"/>
  <c r="FK84" i="1"/>
  <c r="FL84" i="1"/>
  <c r="FM84" i="1"/>
  <c r="FN84" i="1"/>
  <c r="FO84" i="1"/>
  <c r="FP84" i="1"/>
  <c r="FQ84" i="1"/>
  <c r="FR84" i="1"/>
  <c r="FS84" i="1"/>
  <c r="FT84" i="1"/>
  <c r="FU84" i="1"/>
  <c r="FV84" i="1"/>
  <c r="FW84" i="1"/>
  <c r="FX84" i="1"/>
  <c r="FY84" i="1"/>
  <c r="FZ84" i="1"/>
  <c r="GA84" i="1"/>
  <c r="GB84" i="1"/>
  <c r="GC84" i="1"/>
  <c r="GD84" i="1"/>
  <c r="GE84" i="1"/>
  <c r="GF84" i="1"/>
  <c r="GG84" i="1"/>
  <c r="GH84" i="1"/>
  <c r="GI84" i="1"/>
  <c r="GJ84" i="1"/>
  <c r="GK84" i="1"/>
  <c r="GL84" i="1"/>
  <c r="GM84" i="1"/>
  <c r="GN84" i="1"/>
  <c r="GO84" i="1"/>
  <c r="GP84" i="1"/>
  <c r="GQ84" i="1"/>
  <c r="GR84" i="1"/>
  <c r="GS84" i="1"/>
  <c r="GT84" i="1"/>
  <c r="GU84" i="1"/>
  <c r="GV84" i="1"/>
  <c r="GW84" i="1"/>
  <c r="GX84" i="1"/>
  <c r="C86" i="1"/>
  <c r="D86" i="1"/>
  <c r="Q86" i="1"/>
  <c r="AC86" i="1"/>
  <c r="CQ86" i="1" s="1"/>
  <c r="P86" i="1" s="1"/>
  <c r="AE86" i="1"/>
  <c r="CR86" i="1" s="1"/>
  <c r="AF86" i="1"/>
  <c r="CT86" i="1" s="1"/>
  <c r="S86" i="1" s="1"/>
  <c r="AG86" i="1"/>
  <c r="CU86" i="1" s="1"/>
  <c r="T86" i="1" s="1"/>
  <c r="AH86" i="1"/>
  <c r="CV86" i="1" s="1"/>
  <c r="U86" i="1" s="1"/>
  <c r="AI86" i="1"/>
  <c r="CW86" i="1" s="1"/>
  <c r="V86" i="1" s="1"/>
  <c r="AJ86" i="1"/>
  <c r="CX86" i="1" s="1"/>
  <c r="W86" i="1" s="1"/>
  <c r="AJ105" i="1" s="1"/>
  <c r="CS86" i="1"/>
  <c r="R86" i="1" s="1"/>
  <c r="GK86" i="1"/>
  <c r="GL86" i="1"/>
  <c r="GN86" i="1"/>
  <c r="GO86" i="1"/>
  <c r="CC105" i="1" s="1"/>
  <c r="GV86" i="1"/>
  <c r="HC86" i="1"/>
  <c r="GX86" i="1" s="1"/>
  <c r="I87" i="1"/>
  <c r="P87" i="1"/>
  <c r="CP87" i="1" s="1"/>
  <c r="O87" i="1" s="1"/>
  <c r="Q87" i="1"/>
  <c r="S87" i="1"/>
  <c r="T87" i="1"/>
  <c r="U87" i="1"/>
  <c r="V87" i="1"/>
  <c r="W87" i="1"/>
  <c r="X87" i="1"/>
  <c r="AC87" i="1"/>
  <c r="AD87" i="1"/>
  <c r="AB87" i="1" s="1"/>
  <c r="AE87" i="1"/>
  <c r="AF87" i="1"/>
  <c r="AG87" i="1"/>
  <c r="CU87" i="1" s="1"/>
  <c r="AH87" i="1"/>
  <c r="AI87" i="1"/>
  <c r="AJ87" i="1"/>
  <c r="CQ87" i="1"/>
  <c r="CR87" i="1"/>
  <c r="CS87" i="1"/>
  <c r="CT87" i="1"/>
  <c r="CV87" i="1"/>
  <c r="CW87" i="1"/>
  <c r="CX87" i="1"/>
  <c r="CY87" i="1"/>
  <c r="CZ87" i="1"/>
  <c r="Y87" i="1" s="1"/>
  <c r="GL87" i="1"/>
  <c r="GN87" i="1"/>
  <c r="GO87" i="1"/>
  <c r="GV87" i="1"/>
  <c r="HC87" i="1" s="1"/>
  <c r="C88" i="1"/>
  <c r="D88" i="1"/>
  <c r="V88" i="1"/>
  <c r="W88" i="1"/>
  <c r="AC88" i="1"/>
  <c r="CQ88" i="1" s="1"/>
  <c r="P88" i="1" s="1"/>
  <c r="AE88" i="1"/>
  <c r="AF88" i="1"/>
  <c r="CT88" i="1" s="1"/>
  <c r="S88" i="1" s="1"/>
  <c r="AG88" i="1"/>
  <c r="CU88" i="1" s="1"/>
  <c r="T88" i="1" s="1"/>
  <c r="AH88" i="1"/>
  <c r="CV88" i="1" s="1"/>
  <c r="U88" i="1" s="1"/>
  <c r="AI88" i="1"/>
  <c r="CW88" i="1" s="1"/>
  <c r="AJ88" i="1"/>
  <c r="CX88" i="1"/>
  <c r="GL88" i="1"/>
  <c r="GN88" i="1"/>
  <c r="GO88" i="1"/>
  <c r="GV88" i="1"/>
  <c r="HC88" i="1" s="1"/>
  <c r="GX88" i="1" s="1"/>
  <c r="C89" i="1"/>
  <c r="D89" i="1"/>
  <c r="P89" i="1"/>
  <c r="AC89" i="1"/>
  <c r="AE89" i="1"/>
  <c r="AD89" i="1" s="1"/>
  <c r="AB89" i="1" s="1"/>
  <c r="AF89" i="1"/>
  <c r="AG89" i="1"/>
  <c r="AH89" i="1"/>
  <c r="CV89" i="1" s="1"/>
  <c r="U89" i="1" s="1"/>
  <c r="AI89" i="1"/>
  <c r="CW89" i="1" s="1"/>
  <c r="V89" i="1" s="1"/>
  <c r="AJ89" i="1"/>
  <c r="CQ89" i="1"/>
  <c r="CR89" i="1"/>
  <c r="Q89" i="1" s="1"/>
  <c r="CS89" i="1"/>
  <c r="R89" i="1" s="1"/>
  <c r="GK89" i="1" s="1"/>
  <c r="CT89" i="1"/>
  <c r="S89" i="1" s="1"/>
  <c r="CY89" i="1" s="1"/>
  <c r="X89" i="1" s="1"/>
  <c r="CU89" i="1"/>
  <c r="T89" i="1" s="1"/>
  <c r="CX89" i="1"/>
  <c r="W89" i="1" s="1"/>
  <c r="GL89" i="1"/>
  <c r="GN89" i="1"/>
  <c r="GO89" i="1"/>
  <c r="GV89" i="1"/>
  <c r="HC89" i="1" s="1"/>
  <c r="GX89" i="1"/>
  <c r="C90" i="1"/>
  <c r="D90" i="1"/>
  <c r="Q90" i="1"/>
  <c r="R90" i="1"/>
  <c r="GK90" i="1" s="1"/>
  <c r="S90" i="1"/>
  <c r="CZ90" i="1" s="1"/>
  <c r="Y90" i="1"/>
  <c r="AC90" i="1"/>
  <c r="CQ90" i="1" s="1"/>
  <c r="P90" i="1" s="1"/>
  <c r="CP90" i="1" s="1"/>
  <c r="O90" i="1" s="1"/>
  <c r="GM90" i="1" s="1"/>
  <c r="GP90" i="1" s="1"/>
  <c r="AD90" i="1"/>
  <c r="AE90" i="1"/>
  <c r="AF90" i="1"/>
  <c r="AG90" i="1"/>
  <c r="AH90" i="1"/>
  <c r="CV90" i="1" s="1"/>
  <c r="U90" i="1" s="1"/>
  <c r="AI90" i="1"/>
  <c r="CW90" i="1" s="1"/>
  <c r="V90" i="1" s="1"/>
  <c r="AJ90" i="1"/>
  <c r="CX90" i="1" s="1"/>
  <c r="W90" i="1" s="1"/>
  <c r="CR90" i="1"/>
  <c r="CS90" i="1"/>
  <c r="CT90" i="1"/>
  <c r="CU90" i="1"/>
  <c r="T90" i="1" s="1"/>
  <c r="CY90" i="1"/>
  <c r="X90" i="1" s="1"/>
  <c r="GL90" i="1"/>
  <c r="GN90" i="1"/>
  <c r="GO90" i="1"/>
  <c r="GV90" i="1"/>
  <c r="HC90" i="1" s="1"/>
  <c r="GX90" i="1" s="1"/>
  <c r="C91" i="1"/>
  <c r="D91" i="1"/>
  <c r="P91" i="1"/>
  <c r="S91" i="1"/>
  <c r="CY91" i="1" s="1"/>
  <c r="X91" i="1" s="1"/>
  <c r="T91" i="1"/>
  <c r="AC91" i="1"/>
  <c r="AE91" i="1"/>
  <c r="AF91" i="1"/>
  <c r="CT91" i="1" s="1"/>
  <c r="AG91" i="1"/>
  <c r="AH91" i="1"/>
  <c r="AI91" i="1"/>
  <c r="AJ91" i="1"/>
  <c r="CQ91" i="1"/>
  <c r="CU91" i="1"/>
  <c r="CV91" i="1"/>
  <c r="U91" i="1" s="1"/>
  <c r="CW91" i="1"/>
  <c r="V91" i="1" s="1"/>
  <c r="CX91" i="1"/>
  <c r="W91" i="1" s="1"/>
  <c r="GL91" i="1"/>
  <c r="GN91" i="1"/>
  <c r="GO91" i="1"/>
  <c r="GV91" i="1"/>
  <c r="HC91" i="1"/>
  <c r="GX91" i="1" s="1"/>
  <c r="I92" i="1"/>
  <c r="AC92" i="1"/>
  <c r="CQ92" i="1" s="1"/>
  <c r="AD92" i="1"/>
  <c r="AE92" i="1"/>
  <c r="AF92" i="1"/>
  <c r="AG92" i="1"/>
  <c r="AH92" i="1"/>
  <c r="AI92" i="1"/>
  <c r="CW92" i="1" s="1"/>
  <c r="V92" i="1" s="1"/>
  <c r="AJ92" i="1"/>
  <c r="CR92" i="1"/>
  <c r="Q92" i="1" s="1"/>
  <c r="CS92" i="1"/>
  <c r="R92" i="1" s="1"/>
  <c r="GK92" i="1" s="1"/>
  <c r="CT92" i="1"/>
  <c r="S92" i="1" s="1"/>
  <c r="CU92" i="1"/>
  <c r="CV92" i="1"/>
  <c r="CX92" i="1"/>
  <c r="W92" i="1" s="1"/>
  <c r="GL92" i="1"/>
  <c r="GN92" i="1"/>
  <c r="GO92" i="1"/>
  <c r="GV92" i="1"/>
  <c r="HC92" i="1" s="1"/>
  <c r="GX92" i="1"/>
  <c r="C93" i="1"/>
  <c r="D93" i="1"/>
  <c r="AC93" i="1"/>
  <c r="CQ93" i="1" s="1"/>
  <c r="P93" i="1" s="1"/>
  <c r="AE93" i="1"/>
  <c r="AF93" i="1"/>
  <c r="CT93" i="1" s="1"/>
  <c r="S93" i="1" s="1"/>
  <c r="AG93" i="1"/>
  <c r="AH93" i="1"/>
  <c r="AI93" i="1"/>
  <c r="AJ93" i="1"/>
  <c r="CU93" i="1"/>
  <c r="T93" i="1" s="1"/>
  <c r="CV93" i="1"/>
  <c r="U93" i="1" s="1"/>
  <c r="CW93" i="1"/>
  <c r="V93" i="1" s="1"/>
  <c r="CX93" i="1"/>
  <c r="W93" i="1" s="1"/>
  <c r="GL93" i="1"/>
  <c r="GN93" i="1"/>
  <c r="GO93" i="1"/>
  <c r="GV93" i="1"/>
  <c r="HC93" i="1"/>
  <c r="GX93" i="1" s="1"/>
  <c r="I94" i="1"/>
  <c r="R94" i="1"/>
  <c r="GK94" i="1" s="1"/>
  <c r="S94" i="1"/>
  <c r="CY94" i="1" s="1"/>
  <c r="X94" i="1" s="1"/>
  <c r="AC94" i="1"/>
  <c r="AB94" i="1" s="1"/>
  <c r="AD94" i="1"/>
  <c r="AE94" i="1"/>
  <c r="CS94" i="1" s="1"/>
  <c r="AF94" i="1"/>
  <c r="CT94" i="1" s="1"/>
  <c r="AG94" i="1"/>
  <c r="AH94" i="1"/>
  <c r="AI94" i="1"/>
  <c r="CW94" i="1" s="1"/>
  <c r="V94" i="1" s="1"/>
  <c r="AJ94" i="1"/>
  <c r="CQ94" i="1"/>
  <c r="P94" i="1" s="1"/>
  <c r="CP94" i="1" s="1"/>
  <c r="O94" i="1" s="1"/>
  <c r="CR94" i="1"/>
  <c r="Q94" i="1" s="1"/>
  <c r="CU94" i="1"/>
  <c r="T94" i="1" s="1"/>
  <c r="CV94" i="1"/>
  <c r="U94" i="1" s="1"/>
  <c r="CX94" i="1"/>
  <c r="GL94" i="1"/>
  <c r="GN94" i="1"/>
  <c r="GO94" i="1"/>
  <c r="GV94" i="1"/>
  <c r="HC94" i="1" s="1"/>
  <c r="C95" i="1"/>
  <c r="D95" i="1"/>
  <c r="T95" i="1"/>
  <c r="U95" i="1"/>
  <c r="V95" i="1"/>
  <c r="W95" i="1"/>
  <c r="AC95" i="1"/>
  <c r="CQ95" i="1" s="1"/>
  <c r="P95" i="1" s="1"/>
  <c r="AE95" i="1"/>
  <c r="AF95" i="1"/>
  <c r="CT95" i="1" s="1"/>
  <c r="S95" i="1" s="1"/>
  <c r="AG95" i="1"/>
  <c r="CU95" i="1" s="1"/>
  <c r="AH95" i="1"/>
  <c r="CV95" i="1" s="1"/>
  <c r="AI95" i="1"/>
  <c r="CW95" i="1" s="1"/>
  <c r="AJ95" i="1"/>
  <c r="CX95" i="1" s="1"/>
  <c r="GL95" i="1"/>
  <c r="GN95" i="1"/>
  <c r="GO95" i="1"/>
  <c r="GV95" i="1"/>
  <c r="HC95" i="1"/>
  <c r="GX95" i="1" s="1"/>
  <c r="I96" i="1"/>
  <c r="R96" i="1"/>
  <c r="GK96" i="1" s="1"/>
  <c r="S96" i="1"/>
  <c r="CZ96" i="1" s="1"/>
  <c r="Y96" i="1"/>
  <c r="AC96" i="1"/>
  <c r="AB96" i="1" s="1"/>
  <c r="AD96" i="1"/>
  <c r="AE96" i="1"/>
  <c r="AF96" i="1"/>
  <c r="CT96" i="1" s="1"/>
  <c r="AG96" i="1"/>
  <c r="AH96" i="1"/>
  <c r="AI96" i="1"/>
  <c r="AJ96" i="1"/>
  <c r="CR96" i="1"/>
  <c r="CS96" i="1"/>
  <c r="CU96" i="1"/>
  <c r="CV96" i="1"/>
  <c r="CW96" i="1"/>
  <c r="CX96" i="1"/>
  <c r="W96" i="1" s="1"/>
  <c r="GL96" i="1"/>
  <c r="GN96" i="1"/>
  <c r="GO96" i="1"/>
  <c r="GV96" i="1"/>
  <c r="HC96" i="1" s="1"/>
  <c r="GX96" i="1"/>
  <c r="C97" i="1"/>
  <c r="D97" i="1"/>
  <c r="R97" i="1"/>
  <c r="X97" i="1"/>
  <c r="Y97" i="1"/>
  <c r="AB97" i="1"/>
  <c r="AC97" i="1"/>
  <c r="AE97" i="1"/>
  <c r="AD97" i="1" s="1"/>
  <c r="AF97" i="1"/>
  <c r="AG97" i="1"/>
  <c r="CU97" i="1" s="1"/>
  <c r="T97" i="1" s="1"/>
  <c r="AH97" i="1"/>
  <c r="CV97" i="1" s="1"/>
  <c r="U97" i="1" s="1"/>
  <c r="AI97" i="1"/>
  <c r="CW97" i="1" s="1"/>
  <c r="V97" i="1" s="1"/>
  <c r="AJ97" i="1"/>
  <c r="CX97" i="1" s="1"/>
  <c r="W97" i="1" s="1"/>
  <c r="CQ97" i="1"/>
  <c r="P97" i="1" s="1"/>
  <c r="CP97" i="1" s="1"/>
  <c r="O97" i="1" s="1"/>
  <c r="GM97" i="1" s="1"/>
  <c r="GP97" i="1" s="1"/>
  <c r="CR97" i="1"/>
  <c r="Q97" i="1" s="1"/>
  <c r="CS97" i="1"/>
  <c r="CT97" i="1"/>
  <c r="S97" i="1" s="1"/>
  <c r="CY97" i="1"/>
  <c r="CZ97" i="1"/>
  <c r="GK97" i="1"/>
  <c r="GL97" i="1"/>
  <c r="GN97" i="1"/>
  <c r="GO97" i="1"/>
  <c r="GV97" i="1"/>
  <c r="HC97" i="1"/>
  <c r="GX97" i="1" s="1"/>
  <c r="I98" i="1"/>
  <c r="P98" i="1"/>
  <c r="Q98" i="1"/>
  <c r="R98" i="1"/>
  <c r="GK98" i="1" s="1"/>
  <c r="S98" i="1"/>
  <c r="CY98" i="1" s="1"/>
  <c r="T98" i="1"/>
  <c r="U98" i="1"/>
  <c r="X98" i="1"/>
  <c r="AC98" i="1"/>
  <c r="CQ98" i="1" s="1"/>
  <c r="AE98" i="1"/>
  <c r="AD98" i="1" s="1"/>
  <c r="AB98" i="1" s="1"/>
  <c r="AF98" i="1"/>
  <c r="AG98" i="1"/>
  <c r="AH98" i="1"/>
  <c r="AI98" i="1"/>
  <c r="AJ98" i="1"/>
  <c r="CR98" i="1"/>
  <c r="CS98" i="1"/>
  <c r="CT98" i="1"/>
  <c r="CU98" i="1"/>
  <c r="CV98" i="1"/>
  <c r="CW98" i="1"/>
  <c r="V98" i="1" s="1"/>
  <c r="CX98" i="1"/>
  <c r="W98" i="1" s="1"/>
  <c r="GL98" i="1"/>
  <c r="GN98" i="1"/>
  <c r="GO98" i="1"/>
  <c r="GV98" i="1"/>
  <c r="HC98" i="1"/>
  <c r="GX98" i="1" s="1"/>
  <c r="C99" i="1"/>
  <c r="D99" i="1"/>
  <c r="I99" i="1"/>
  <c r="K99" i="1"/>
  <c r="T99" i="1"/>
  <c r="U99" i="1"/>
  <c r="W99" i="1"/>
  <c r="AC99" i="1"/>
  <c r="CQ99" i="1" s="1"/>
  <c r="P99" i="1" s="1"/>
  <c r="AE99" i="1"/>
  <c r="AF99" i="1"/>
  <c r="CT99" i="1" s="1"/>
  <c r="S99" i="1" s="1"/>
  <c r="AG99" i="1"/>
  <c r="AH99" i="1"/>
  <c r="AI99" i="1"/>
  <c r="AJ99" i="1"/>
  <c r="CU99" i="1"/>
  <c r="CV99" i="1"/>
  <c r="CW99" i="1"/>
  <c r="V99" i="1" s="1"/>
  <c r="CX99" i="1"/>
  <c r="GL99" i="1"/>
  <c r="GN99" i="1"/>
  <c r="GO99" i="1"/>
  <c r="GV99" i="1"/>
  <c r="HC99" i="1"/>
  <c r="GX99" i="1" s="1"/>
  <c r="C100" i="1"/>
  <c r="D100" i="1"/>
  <c r="I100" i="1"/>
  <c r="CX49" i="3" s="1"/>
  <c r="K100" i="1"/>
  <c r="W100" i="1"/>
  <c r="X100" i="1"/>
  <c r="AC100" i="1"/>
  <c r="CQ100" i="1" s="1"/>
  <c r="P100" i="1" s="1"/>
  <c r="AD100" i="1"/>
  <c r="AE100" i="1"/>
  <c r="CR100" i="1" s="1"/>
  <c r="Q100" i="1" s="1"/>
  <c r="AF100" i="1"/>
  <c r="CT100" i="1" s="1"/>
  <c r="S100" i="1" s="1"/>
  <c r="CY100" i="1" s="1"/>
  <c r="AG100" i="1"/>
  <c r="AH100" i="1"/>
  <c r="CV100" i="1" s="1"/>
  <c r="U100" i="1" s="1"/>
  <c r="AI100" i="1"/>
  <c r="CW100" i="1" s="1"/>
  <c r="V100" i="1" s="1"/>
  <c r="AJ100" i="1"/>
  <c r="CX100" i="1" s="1"/>
  <c r="CP100" i="1"/>
  <c r="O100" i="1" s="1"/>
  <c r="CS100" i="1"/>
  <c r="R100" i="1" s="1"/>
  <c r="CU100" i="1"/>
  <c r="T100" i="1" s="1"/>
  <c r="CZ100" i="1"/>
  <c r="Y100" i="1" s="1"/>
  <c r="GK100" i="1"/>
  <c r="GL100" i="1"/>
  <c r="BZ105" i="1" s="1"/>
  <c r="GN100" i="1"/>
  <c r="GO100" i="1"/>
  <c r="GV100" i="1"/>
  <c r="HC100" i="1"/>
  <c r="GX100" i="1" s="1"/>
  <c r="I101" i="1"/>
  <c r="P101" i="1"/>
  <c r="AC101" i="1"/>
  <c r="AE101" i="1"/>
  <c r="AD101" i="1" s="1"/>
  <c r="AF101" i="1"/>
  <c r="AG101" i="1"/>
  <c r="AH101" i="1"/>
  <c r="CV101" i="1" s="1"/>
  <c r="U101" i="1" s="1"/>
  <c r="AI101" i="1"/>
  <c r="CW101" i="1" s="1"/>
  <c r="V101" i="1" s="1"/>
  <c r="AJ101" i="1"/>
  <c r="CQ101" i="1"/>
  <c r="CR101" i="1"/>
  <c r="CS101" i="1"/>
  <c r="R101" i="1" s="1"/>
  <c r="GK101" i="1" s="1"/>
  <c r="CT101" i="1"/>
  <c r="S101" i="1" s="1"/>
  <c r="CZ101" i="1" s="1"/>
  <c r="Y101" i="1" s="1"/>
  <c r="CU101" i="1"/>
  <c r="T101" i="1" s="1"/>
  <c r="CX101" i="1"/>
  <c r="W101" i="1" s="1"/>
  <c r="CY101" i="1"/>
  <c r="X101" i="1" s="1"/>
  <c r="GL101" i="1"/>
  <c r="GN101" i="1"/>
  <c r="GO101" i="1"/>
  <c r="GV101" i="1"/>
  <c r="HC101" i="1"/>
  <c r="C102" i="1"/>
  <c r="D102" i="1"/>
  <c r="P102" i="1"/>
  <c r="W102" i="1"/>
  <c r="AC102" i="1"/>
  <c r="AE102" i="1"/>
  <c r="AF102" i="1"/>
  <c r="CT102" i="1" s="1"/>
  <c r="S102" i="1" s="1"/>
  <c r="AG102" i="1"/>
  <c r="CU102" i="1" s="1"/>
  <c r="T102" i="1" s="1"/>
  <c r="AH102" i="1"/>
  <c r="AI102" i="1"/>
  <c r="AJ102" i="1"/>
  <c r="CX102" i="1" s="1"/>
  <c r="CQ102" i="1"/>
  <c r="CV102" i="1"/>
  <c r="U102" i="1" s="1"/>
  <c r="CW102" i="1"/>
  <c r="V102" i="1" s="1"/>
  <c r="GL102" i="1"/>
  <c r="GN102" i="1"/>
  <c r="GO102" i="1"/>
  <c r="GV102" i="1"/>
  <c r="HC102" i="1"/>
  <c r="GX102" i="1" s="1"/>
  <c r="C103" i="1"/>
  <c r="D103" i="1"/>
  <c r="Q103" i="1"/>
  <c r="R103" i="1"/>
  <c r="GK103" i="1" s="1"/>
  <c r="S103" i="1"/>
  <c r="CZ103" i="1" s="1"/>
  <c r="Y103" i="1"/>
  <c r="AC103" i="1"/>
  <c r="AB103" i="1" s="1"/>
  <c r="AD103" i="1"/>
  <c r="AE103" i="1"/>
  <c r="AF103" i="1"/>
  <c r="CT103" i="1" s="1"/>
  <c r="AG103" i="1"/>
  <c r="CU103" i="1" s="1"/>
  <c r="T103" i="1" s="1"/>
  <c r="AH103" i="1"/>
  <c r="AI103" i="1"/>
  <c r="AJ103" i="1"/>
  <c r="CQ103" i="1"/>
  <c r="P103" i="1" s="1"/>
  <c r="CP103" i="1" s="1"/>
  <c r="O103" i="1" s="1"/>
  <c r="GM103" i="1" s="1"/>
  <c r="GP103" i="1" s="1"/>
  <c r="CR103" i="1"/>
  <c r="CS103" i="1"/>
  <c r="CV103" i="1"/>
  <c r="U103" i="1" s="1"/>
  <c r="CW103" i="1"/>
  <c r="V103" i="1" s="1"/>
  <c r="CX103" i="1"/>
  <c r="W103" i="1" s="1"/>
  <c r="CY103" i="1"/>
  <c r="X103" i="1" s="1"/>
  <c r="GL103" i="1"/>
  <c r="GN103" i="1"/>
  <c r="GO103" i="1"/>
  <c r="GV103" i="1"/>
  <c r="HC103" i="1"/>
  <c r="GX103" i="1" s="1"/>
  <c r="B105" i="1"/>
  <c r="B84" i="1" s="1"/>
  <c r="C105" i="1"/>
  <c r="C84" i="1" s="1"/>
  <c r="D105" i="1"/>
  <c r="D84" i="1" s="1"/>
  <c r="F105" i="1"/>
  <c r="G105" i="1"/>
  <c r="G84" i="1" s="1"/>
  <c r="BC105" i="1"/>
  <c r="BC84" i="1" s="1"/>
  <c r="BD105" i="1"/>
  <c r="F130" i="1" s="1"/>
  <c r="BX105" i="1"/>
  <c r="AO105" i="1" s="1"/>
  <c r="BY105" i="1"/>
  <c r="CB105" i="1"/>
  <c r="AS105" i="1" s="1"/>
  <c r="AS84" i="1" s="1"/>
  <c r="CK105" i="1"/>
  <c r="CL105" i="1"/>
  <c r="CL84" i="1" s="1"/>
  <c r="CM105" i="1"/>
  <c r="D135" i="1"/>
  <c r="B137" i="1"/>
  <c r="C137" i="1"/>
  <c r="E137" i="1"/>
  <c r="Z137" i="1"/>
  <c r="AA137" i="1"/>
  <c r="AM137" i="1"/>
  <c r="AN137" i="1"/>
  <c r="BE137" i="1"/>
  <c r="BF137" i="1"/>
  <c r="BG137" i="1"/>
  <c r="BH137" i="1"/>
  <c r="BI137" i="1"/>
  <c r="BJ137" i="1"/>
  <c r="BK137" i="1"/>
  <c r="BL137" i="1"/>
  <c r="BM137" i="1"/>
  <c r="BN137" i="1"/>
  <c r="BO137" i="1"/>
  <c r="BP137" i="1"/>
  <c r="BQ137" i="1"/>
  <c r="BR137" i="1"/>
  <c r="BS137" i="1"/>
  <c r="BT137" i="1"/>
  <c r="BU137" i="1"/>
  <c r="BV137" i="1"/>
  <c r="BW137" i="1"/>
  <c r="CK137" i="1"/>
  <c r="CL137" i="1"/>
  <c r="CN137" i="1"/>
  <c r="CO137" i="1"/>
  <c r="CP137" i="1"/>
  <c r="CQ137" i="1"/>
  <c r="CR137" i="1"/>
  <c r="CS137" i="1"/>
  <c r="CT137" i="1"/>
  <c r="CU137" i="1"/>
  <c r="CV137" i="1"/>
  <c r="CW137" i="1"/>
  <c r="CX137" i="1"/>
  <c r="CY137" i="1"/>
  <c r="CZ137" i="1"/>
  <c r="DA137" i="1"/>
  <c r="DB137" i="1"/>
  <c r="DC137" i="1"/>
  <c r="DD137" i="1"/>
  <c r="DE137" i="1"/>
  <c r="DF137" i="1"/>
  <c r="DG137" i="1"/>
  <c r="DH137" i="1"/>
  <c r="DI137" i="1"/>
  <c r="DJ137" i="1"/>
  <c r="DK137" i="1"/>
  <c r="DL137" i="1"/>
  <c r="DM137" i="1"/>
  <c r="DN137" i="1"/>
  <c r="DO137" i="1"/>
  <c r="DP137" i="1"/>
  <c r="DQ137" i="1"/>
  <c r="DR137" i="1"/>
  <c r="DS137" i="1"/>
  <c r="DT137" i="1"/>
  <c r="DU137" i="1"/>
  <c r="DV137" i="1"/>
  <c r="DW137" i="1"/>
  <c r="DX137" i="1"/>
  <c r="DY137" i="1"/>
  <c r="DZ137" i="1"/>
  <c r="EA137" i="1"/>
  <c r="EB137" i="1"/>
  <c r="EC137" i="1"/>
  <c r="ED137" i="1"/>
  <c r="EE137" i="1"/>
  <c r="EF137" i="1"/>
  <c r="EG137" i="1"/>
  <c r="EH137" i="1"/>
  <c r="EI137" i="1"/>
  <c r="EJ137" i="1"/>
  <c r="EK137" i="1"/>
  <c r="EL137" i="1"/>
  <c r="EM137" i="1"/>
  <c r="EN137" i="1"/>
  <c r="EO137" i="1"/>
  <c r="EP137" i="1"/>
  <c r="EQ137" i="1"/>
  <c r="ER137" i="1"/>
  <c r="ES137" i="1"/>
  <c r="ET137" i="1"/>
  <c r="EU137" i="1"/>
  <c r="EV137" i="1"/>
  <c r="EW137" i="1"/>
  <c r="EX137" i="1"/>
  <c r="EY137" i="1"/>
  <c r="EZ137" i="1"/>
  <c r="FA137" i="1"/>
  <c r="FB137" i="1"/>
  <c r="FC137" i="1"/>
  <c r="FD137" i="1"/>
  <c r="FE137" i="1"/>
  <c r="FF137" i="1"/>
  <c r="FG137" i="1"/>
  <c r="FH137" i="1"/>
  <c r="FI137" i="1"/>
  <c r="FJ137" i="1"/>
  <c r="FK137" i="1"/>
  <c r="FL137" i="1"/>
  <c r="FM137" i="1"/>
  <c r="FN137" i="1"/>
  <c r="FO137" i="1"/>
  <c r="FP137" i="1"/>
  <c r="FQ137" i="1"/>
  <c r="FR137" i="1"/>
  <c r="FS137" i="1"/>
  <c r="FT137" i="1"/>
  <c r="FU137" i="1"/>
  <c r="FV137" i="1"/>
  <c r="FW137" i="1"/>
  <c r="FX137" i="1"/>
  <c r="FY137" i="1"/>
  <c r="FZ137" i="1"/>
  <c r="GA137" i="1"/>
  <c r="GB137" i="1"/>
  <c r="GC137" i="1"/>
  <c r="GD137" i="1"/>
  <c r="GE137" i="1"/>
  <c r="GF137" i="1"/>
  <c r="GG137" i="1"/>
  <c r="GH137" i="1"/>
  <c r="GI137" i="1"/>
  <c r="GJ137" i="1"/>
  <c r="GK137" i="1"/>
  <c r="GL137" i="1"/>
  <c r="GM137" i="1"/>
  <c r="GN137" i="1"/>
  <c r="GO137" i="1"/>
  <c r="GP137" i="1"/>
  <c r="GQ137" i="1"/>
  <c r="GR137" i="1"/>
  <c r="GS137" i="1"/>
  <c r="GT137" i="1"/>
  <c r="GU137" i="1"/>
  <c r="GV137" i="1"/>
  <c r="GW137" i="1"/>
  <c r="GX137" i="1"/>
  <c r="C139" i="1"/>
  <c r="D139" i="1"/>
  <c r="I139" i="1"/>
  <c r="K139" i="1"/>
  <c r="P139" i="1"/>
  <c r="S139" i="1"/>
  <c r="T139" i="1"/>
  <c r="U139" i="1"/>
  <c r="V139" i="1"/>
  <c r="W139" i="1"/>
  <c r="AC139" i="1"/>
  <c r="AE139" i="1"/>
  <c r="AF139" i="1"/>
  <c r="CT139" i="1" s="1"/>
  <c r="AG139" i="1"/>
  <c r="AH139" i="1"/>
  <c r="CV139" i="1" s="1"/>
  <c r="AI139" i="1"/>
  <c r="AJ139" i="1"/>
  <c r="CQ139" i="1"/>
  <c r="CU139" i="1"/>
  <c r="CW139" i="1"/>
  <c r="CX139" i="1"/>
  <c r="GL139" i="1"/>
  <c r="GN139" i="1"/>
  <c r="GO139" i="1"/>
  <c r="GV139" i="1"/>
  <c r="HC139" i="1" s="1"/>
  <c r="GX139" i="1" s="1"/>
  <c r="C140" i="1"/>
  <c r="D140" i="1"/>
  <c r="I140" i="1"/>
  <c r="K140" i="1"/>
  <c r="P140" i="1"/>
  <c r="AC140" i="1"/>
  <c r="AE140" i="1"/>
  <c r="AF140" i="1"/>
  <c r="CT140" i="1" s="1"/>
  <c r="S140" i="1" s="1"/>
  <c r="CZ140" i="1" s="1"/>
  <c r="Y140" i="1" s="1"/>
  <c r="AG140" i="1"/>
  <c r="CU140" i="1" s="1"/>
  <c r="T140" i="1" s="1"/>
  <c r="AH140" i="1"/>
  <c r="CV140" i="1" s="1"/>
  <c r="U140" i="1" s="1"/>
  <c r="AI140" i="1"/>
  <c r="AJ140" i="1"/>
  <c r="CQ140" i="1"/>
  <c r="CW140" i="1"/>
  <c r="V140" i="1" s="1"/>
  <c r="CX140" i="1"/>
  <c r="W140" i="1" s="1"/>
  <c r="GL140" i="1"/>
  <c r="GN140" i="1"/>
  <c r="GO140" i="1"/>
  <c r="GV140" i="1"/>
  <c r="HC140" i="1"/>
  <c r="GX140" i="1" s="1"/>
  <c r="C141" i="1"/>
  <c r="D141" i="1"/>
  <c r="R141" i="1"/>
  <c r="S141" i="1"/>
  <c r="CZ141" i="1" s="1"/>
  <c r="T141" i="1"/>
  <c r="U141" i="1"/>
  <c r="Y141" i="1"/>
  <c r="AC141" i="1"/>
  <c r="AD141" i="1"/>
  <c r="AB141" i="1" s="1"/>
  <c r="AE141" i="1"/>
  <c r="AF141" i="1"/>
  <c r="AG141" i="1"/>
  <c r="CU141" i="1" s="1"/>
  <c r="AH141" i="1"/>
  <c r="AI141" i="1"/>
  <c r="AJ141" i="1"/>
  <c r="CQ141" i="1"/>
  <c r="P141" i="1" s="1"/>
  <c r="CR141" i="1"/>
  <c r="Q141" i="1" s="1"/>
  <c r="CS141" i="1"/>
  <c r="CT141" i="1"/>
  <c r="CV141" i="1"/>
  <c r="CW141" i="1"/>
  <c r="V141" i="1" s="1"/>
  <c r="CX141" i="1"/>
  <c r="W141" i="1" s="1"/>
  <c r="GK141" i="1"/>
  <c r="GL141" i="1"/>
  <c r="GN141" i="1"/>
  <c r="CB159" i="1" s="1"/>
  <c r="GO141" i="1"/>
  <c r="GV141" i="1"/>
  <c r="HC141" i="1"/>
  <c r="GX141" i="1" s="1"/>
  <c r="C142" i="1"/>
  <c r="D142" i="1"/>
  <c r="R142" i="1"/>
  <c r="U142" i="1"/>
  <c r="V142" i="1"/>
  <c r="X142" i="1"/>
  <c r="Y142" i="1"/>
  <c r="AC142" i="1"/>
  <c r="AB142" i="1" s="1"/>
  <c r="AD142" i="1"/>
  <c r="AE142" i="1"/>
  <c r="AF142" i="1"/>
  <c r="AG142" i="1"/>
  <c r="AH142" i="1"/>
  <c r="AI142" i="1"/>
  <c r="CW142" i="1" s="1"/>
  <c r="AJ142" i="1"/>
  <c r="CX142" i="1" s="1"/>
  <c r="W142" i="1" s="1"/>
  <c r="CQ142" i="1"/>
  <c r="P142" i="1" s="1"/>
  <c r="CP142" i="1" s="1"/>
  <c r="O142" i="1" s="1"/>
  <c r="GM142" i="1" s="1"/>
  <c r="GP142" i="1" s="1"/>
  <c r="CR142" i="1"/>
  <c r="Q142" i="1" s="1"/>
  <c r="CS142" i="1"/>
  <c r="CT142" i="1"/>
  <c r="S142" i="1" s="1"/>
  <c r="CU142" i="1"/>
  <c r="T142" i="1" s="1"/>
  <c r="CV142" i="1"/>
  <c r="CY142" i="1"/>
  <c r="CZ142" i="1"/>
  <c r="GK142" i="1"/>
  <c r="GL142" i="1"/>
  <c r="GN142" i="1"/>
  <c r="GO142" i="1"/>
  <c r="GV142" i="1"/>
  <c r="HC142" i="1" s="1"/>
  <c r="GX142" i="1" s="1"/>
  <c r="C143" i="1"/>
  <c r="D143" i="1"/>
  <c r="P143" i="1"/>
  <c r="CP143" i="1" s="1"/>
  <c r="O143" i="1" s="1"/>
  <c r="R143" i="1"/>
  <c r="GK143" i="1" s="1"/>
  <c r="S143" i="1"/>
  <c r="CZ143" i="1" s="1"/>
  <c r="Y143" i="1" s="1"/>
  <c r="T143" i="1"/>
  <c r="V143" i="1"/>
  <c r="AC143" i="1"/>
  <c r="AE143" i="1"/>
  <c r="CS143" i="1" s="1"/>
  <c r="AF143" i="1"/>
  <c r="CT143" i="1" s="1"/>
  <c r="AG143" i="1"/>
  <c r="CU143" i="1" s="1"/>
  <c r="AH143" i="1"/>
  <c r="CV143" i="1" s="1"/>
  <c r="U143" i="1" s="1"/>
  <c r="AI143" i="1"/>
  <c r="AJ143" i="1"/>
  <c r="CQ143" i="1"/>
  <c r="CR143" i="1"/>
  <c r="Q143" i="1" s="1"/>
  <c r="CW143" i="1"/>
  <c r="CX143" i="1"/>
  <c r="W143" i="1" s="1"/>
  <c r="GL143" i="1"/>
  <c r="GN143" i="1"/>
  <c r="GO143" i="1"/>
  <c r="CC159" i="1" s="1"/>
  <c r="GV143" i="1"/>
  <c r="HC143" i="1" s="1"/>
  <c r="GX143" i="1" s="1"/>
  <c r="C144" i="1"/>
  <c r="D144" i="1"/>
  <c r="P144" i="1"/>
  <c r="Q144" i="1"/>
  <c r="R144" i="1"/>
  <c r="GK144" i="1" s="1"/>
  <c r="S144" i="1"/>
  <c r="W144" i="1"/>
  <c r="AC144" i="1"/>
  <c r="CQ144" i="1" s="1"/>
  <c r="AD144" i="1"/>
  <c r="AE144" i="1"/>
  <c r="AF144" i="1"/>
  <c r="AG144" i="1"/>
  <c r="AH144" i="1"/>
  <c r="CV144" i="1" s="1"/>
  <c r="U144" i="1" s="1"/>
  <c r="AI144" i="1"/>
  <c r="CW144" i="1" s="1"/>
  <c r="V144" i="1" s="1"/>
  <c r="AJ144" i="1"/>
  <c r="CX144" i="1" s="1"/>
  <c r="CR144" i="1"/>
  <c r="CS144" i="1"/>
  <c r="CT144" i="1"/>
  <c r="CU144" i="1"/>
  <c r="T144" i="1" s="1"/>
  <c r="GL144" i="1"/>
  <c r="GN144" i="1"/>
  <c r="GO144" i="1"/>
  <c r="GV144" i="1"/>
  <c r="HC144" i="1"/>
  <c r="GX144" i="1" s="1"/>
  <c r="I145" i="1"/>
  <c r="R145" i="1"/>
  <c r="S145" i="1"/>
  <c r="CY145" i="1" s="1"/>
  <c r="X145" i="1" s="1"/>
  <c r="T145" i="1"/>
  <c r="AC145" i="1"/>
  <c r="AE145" i="1"/>
  <c r="CS145" i="1" s="1"/>
  <c r="AF145" i="1"/>
  <c r="CT145" i="1" s="1"/>
  <c r="AG145" i="1"/>
  <c r="AH145" i="1"/>
  <c r="AI145" i="1"/>
  <c r="AJ145" i="1"/>
  <c r="CQ145" i="1"/>
  <c r="CR145" i="1"/>
  <c r="CU145" i="1"/>
  <c r="CV145" i="1"/>
  <c r="U145" i="1" s="1"/>
  <c r="CW145" i="1"/>
  <c r="V145" i="1" s="1"/>
  <c r="CX145" i="1"/>
  <c r="W145" i="1" s="1"/>
  <c r="GK145" i="1"/>
  <c r="GL145" i="1"/>
  <c r="GN145" i="1"/>
  <c r="GO145" i="1"/>
  <c r="GV145" i="1"/>
  <c r="HC145" i="1"/>
  <c r="C146" i="1"/>
  <c r="D146" i="1"/>
  <c r="I146" i="1"/>
  <c r="CU68" i="3" s="1"/>
  <c r="K146" i="1"/>
  <c r="S146" i="1"/>
  <c r="CY146" i="1" s="1"/>
  <c r="T146" i="1"/>
  <c r="U146" i="1"/>
  <c r="V146" i="1"/>
  <c r="W146" i="1"/>
  <c r="X146" i="1"/>
  <c r="AC146" i="1"/>
  <c r="CQ146" i="1" s="1"/>
  <c r="P146" i="1" s="1"/>
  <c r="AD146" i="1"/>
  <c r="AE146" i="1"/>
  <c r="AF146" i="1"/>
  <c r="CT146" i="1" s="1"/>
  <c r="AG146" i="1"/>
  <c r="CU146" i="1" s="1"/>
  <c r="AH146" i="1"/>
  <c r="CV146" i="1" s="1"/>
  <c r="AI146" i="1"/>
  <c r="CW146" i="1" s="1"/>
  <c r="AJ146" i="1"/>
  <c r="CX146" i="1" s="1"/>
  <c r="GL146" i="1"/>
  <c r="GN146" i="1"/>
  <c r="GO146" i="1"/>
  <c r="GV146" i="1"/>
  <c r="HC146" i="1"/>
  <c r="GX146" i="1" s="1"/>
  <c r="I147" i="1"/>
  <c r="P147" i="1"/>
  <c r="Q147" i="1"/>
  <c r="R147" i="1"/>
  <c r="GK147" i="1" s="1"/>
  <c r="AC147" i="1"/>
  <c r="AD147" i="1"/>
  <c r="AE147" i="1"/>
  <c r="AF147" i="1"/>
  <c r="AB147" i="1" s="1"/>
  <c r="AG147" i="1"/>
  <c r="AH147" i="1"/>
  <c r="CV147" i="1" s="1"/>
  <c r="AI147" i="1"/>
  <c r="CW147" i="1" s="1"/>
  <c r="AJ147" i="1"/>
  <c r="CQ147" i="1"/>
  <c r="CR147" i="1"/>
  <c r="CS147" i="1"/>
  <c r="CT147" i="1"/>
  <c r="CU147" i="1"/>
  <c r="CX147" i="1"/>
  <c r="GL147" i="1"/>
  <c r="GN147" i="1"/>
  <c r="GO147" i="1"/>
  <c r="GV147" i="1"/>
  <c r="HC147" i="1" s="1"/>
  <c r="C148" i="1"/>
  <c r="D148" i="1"/>
  <c r="I148" i="1"/>
  <c r="K148" i="1"/>
  <c r="P148" i="1"/>
  <c r="AC148" i="1"/>
  <c r="AE148" i="1"/>
  <c r="AF148" i="1"/>
  <c r="CT148" i="1" s="1"/>
  <c r="S148" i="1" s="1"/>
  <c r="AG148" i="1"/>
  <c r="CU148" i="1" s="1"/>
  <c r="T148" i="1" s="1"/>
  <c r="AH148" i="1"/>
  <c r="CV148" i="1" s="1"/>
  <c r="U148" i="1" s="1"/>
  <c r="AI148" i="1"/>
  <c r="CW148" i="1" s="1"/>
  <c r="V148" i="1" s="1"/>
  <c r="AJ148" i="1"/>
  <c r="CX148" i="1" s="1"/>
  <c r="W148" i="1" s="1"/>
  <c r="CQ148" i="1"/>
  <c r="GL148" i="1"/>
  <c r="GN148" i="1"/>
  <c r="GO148" i="1"/>
  <c r="GV148" i="1"/>
  <c r="HC148" i="1"/>
  <c r="GX148" i="1" s="1"/>
  <c r="C149" i="1"/>
  <c r="D149" i="1"/>
  <c r="P149" i="1"/>
  <c r="Q149" i="1"/>
  <c r="R149" i="1"/>
  <c r="GK149" i="1" s="1"/>
  <c r="Y149" i="1"/>
  <c r="AC149" i="1"/>
  <c r="AE149" i="1"/>
  <c r="AD149" i="1" s="1"/>
  <c r="AB149" i="1" s="1"/>
  <c r="AF149" i="1"/>
  <c r="AG149" i="1"/>
  <c r="AH149" i="1"/>
  <c r="AI149" i="1"/>
  <c r="AJ149" i="1"/>
  <c r="CX149" i="1" s="1"/>
  <c r="W149" i="1" s="1"/>
  <c r="CP149" i="1"/>
  <c r="O149" i="1" s="1"/>
  <c r="GM149" i="1" s="1"/>
  <c r="GP149" i="1" s="1"/>
  <c r="CQ149" i="1"/>
  <c r="CR149" i="1"/>
  <c r="CS149" i="1"/>
  <c r="CT149" i="1"/>
  <c r="S149" i="1" s="1"/>
  <c r="CY149" i="1" s="1"/>
  <c r="X149" i="1" s="1"/>
  <c r="CU149" i="1"/>
  <c r="T149" i="1" s="1"/>
  <c r="CV149" i="1"/>
  <c r="U149" i="1" s="1"/>
  <c r="CW149" i="1"/>
  <c r="V149" i="1" s="1"/>
  <c r="CZ149" i="1"/>
  <c r="GL149" i="1"/>
  <c r="GN149" i="1"/>
  <c r="GO149" i="1"/>
  <c r="GV149" i="1"/>
  <c r="HC149" i="1" s="1"/>
  <c r="GX149" i="1" s="1"/>
  <c r="I150" i="1"/>
  <c r="T150" i="1"/>
  <c r="U150" i="1"/>
  <c r="V150" i="1"/>
  <c r="W150" i="1"/>
  <c r="AC150" i="1"/>
  <c r="CQ150" i="1" s="1"/>
  <c r="P150" i="1" s="1"/>
  <c r="AE150" i="1"/>
  <c r="CS150" i="1" s="1"/>
  <c r="R150" i="1" s="1"/>
  <c r="GK150" i="1" s="1"/>
  <c r="AF150" i="1"/>
  <c r="CT150" i="1" s="1"/>
  <c r="S150" i="1" s="1"/>
  <c r="AG150" i="1"/>
  <c r="CU150" i="1" s="1"/>
  <c r="AH150" i="1"/>
  <c r="AI150" i="1"/>
  <c r="AJ150" i="1"/>
  <c r="CV150" i="1"/>
  <c r="CW150" i="1"/>
  <c r="CX150" i="1"/>
  <c r="GL150" i="1"/>
  <c r="GN150" i="1"/>
  <c r="GO150" i="1"/>
  <c r="GV150" i="1"/>
  <c r="HC150" i="1"/>
  <c r="GX150" i="1" s="1"/>
  <c r="C151" i="1"/>
  <c r="D151" i="1"/>
  <c r="I151" i="1"/>
  <c r="K151" i="1"/>
  <c r="T151" i="1"/>
  <c r="U151" i="1"/>
  <c r="AC151" i="1"/>
  <c r="AE151" i="1"/>
  <c r="AD151" i="1" s="1"/>
  <c r="AB151" i="1" s="1"/>
  <c r="AF151" i="1"/>
  <c r="AG151" i="1"/>
  <c r="CU151" i="1" s="1"/>
  <c r="AH151" i="1"/>
  <c r="CV151" i="1" s="1"/>
  <c r="AI151" i="1"/>
  <c r="CW151" i="1" s="1"/>
  <c r="V151" i="1" s="1"/>
  <c r="AJ151" i="1"/>
  <c r="CX151" i="1" s="1"/>
  <c r="W151" i="1" s="1"/>
  <c r="CQ151" i="1"/>
  <c r="P151" i="1" s="1"/>
  <c r="CP151" i="1" s="1"/>
  <c r="O151" i="1" s="1"/>
  <c r="CR151" i="1"/>
  <c r="Q151" i="1" s="1"/>
  <c r="CS151" i="1"/>
  <c r="R151" i="1" s="1"/>
  <c r="GK151" i="1" s="1"/>
  <c r="CT151" i="1"/>
  <c r="S151" i="1" s="1"/>
  <c r="CZ151" i="1" s="1"/>
  <c r="Y151" i="1" s="1"/>
  <c r="CY151" i="1"/>
  <c r="X151" i="1" s="1"/>
  <c r="GL151" i="1"/>
  <c r="GN151" i="1"/>
  <c r="GO151" i="1"/>
  <c r="GV151" i="1"/>
  <c r="HC151" i="1"/>
  <c r="GX151" i="1" s="1"/>
  <c r="C152" i="1"/>
  <c r="D152" i="1"/>
  <c r="I152" i="1"/>
  <c r="CU76" i="3" s="1"/>
  <c r="K152" i="1"/>
  <c r="R152" i="1"/>
  <c r="GK152" i="1" s="1"/>
  <c r="S152" i="1"/>
  <c r="AC152" i="1"/>
  <c r="AD152" i="1"/>
  <c r="AB152" i="1" s="1"/>
  <c r="AE152" i="1"/>
  <c r="AF152" i="1"/>
  <c r="AG152" i="1"/>
  <c r="AH152" i="1"/>
  <c r="CV152" i="1" s="1"/>
  <c r="U152" i="1" s="1"/>
  <c r="AI152" i="1"/>
  <c r="CW152" i="1" s="1"/>
  <c r="V152" i="1" s="1"/>
  <c r="AJ152" i="1"/>
  <c r="CX152" i="1" s="1"/>
  <c r="W152" i="1" s="1"/>
  <c r="CQ152" i="1"/>
  <c r="P152" i="1" s="1"/>
  <c r="CP152" i="1" s="1"/>
  <c r="O152" i="1" s="1"/>
  <c r="CR152" i="1"/>
  <c r="Q152" i="1" s="1"/>
  <c r="CS152" i="1"/>
  <c r="CT152" i="1"/>
  <c r="CU152" i="1"/>
  <c r="T152" i="1" s="1"/>
  <c r="GL152" i="1"/>
  <c r="GN152" i="1"/>
  <c r="GO152" i="1"/>
  <c r="GV152" i="1"/>
  <c r="GX152" i="1"/>
  <c r="HC152" i="1"/>
  <c r="C153" i="1"/>
  <c r="D153" i="1"/>
  <c r="I153" i="1"/>
  <c r="K153" i="1"/>
  <c r="S153" i="1"/>
  <c r="CY153" i="1" s="1"/>
  <c r="X153" i="1" s="1"/>
  <c r="AC153" i="1"/>
  <c r="AE153" i="1"/>
  <c r="AF153" i="1"/>
  <c r="AG153" i="1"/>
  <c r="AH153" i="1"/>
  <c r="AI153" i="1"/>
  <c r="AJ153" i="1"/>
  <c r="CT153" i="1"/>
  <c r="CU153" i="1"/>
  <c r="CV153" i="1"/>
  <c r="CW153" i="1"/>
  <c r="CX153" i="1"/>
  <c r="GL153" i="1"/>
  <c r="GN153" i="1"/>
  <c r="GO153" i="1"/>
  <c r="GV153" i="1"/>
  <c r="HC153" i="1"/>
  <c r="GX153" i="1" s="1"/>
  <c r="AC154" i="1"/>
  <c r="AE154" i="1"/>
  <c r="AD154" i="1" s="1"/>
  <c r="AB154" i="1" s="1"/>
  <c r="AF154" i="1"/>
  <c r="AG154" i="1"/>
  <c r="CU154" i="1" s="1"/>
  <c r="AH154" i="1"/>
  <c r="CV154" i="1" s="1"/>
  <c r="AI154" i="1"/>
  <c r="CW154" i="1" s="1"/>
  <c r="AJ154" i="1"/>
  <c r="CX154" i="1" s="1"/>
  <c r="CQ154" i="1"/>
  <c r="CR154" i="1"/>
  <c r="CS154" i="1"/>
  <c r="CT154" i="1"/>
  <c r="GL154" i="1"/>
  <c r="GN154" i="1"/>
  <c r="GO154" i="1"/>
  <c r="GV154" i="1"/>
  <c r="HC154" i="1"/>
  <c r="C155" i="1"/>
  <c r="D155" i="1"/>
  <c r="R155" i="1"/>
  <c r="GK155" i="1" s="1"/>
  <c r="S155" i="1"/>
  <c r="CY155" i="1" s="1"/>
  <c r="X155" i="1" s="1"/>
  <c r="T155" i="1"/>
  <c r="AB155" i="1"/>
  <c r="AC155" i="1"/>
  <c r="AD155" i="1"/>
  <c r="AE155" i="1"/>
  <c r="AF155" i="1"/>
  <c r="AG155" i="1"/>
  <c r="AH155" i="1"/>
  <c r="AI155" i="1"/>
  <c r="CW155" i="1" s="1"/>
  <c r="V155" i="1" s="1"/>
  <c r="AJ155" i="1"/>
  <c r="CX155" i="1" s="1"/>
  <c r="W155" i="1" s="1"/>
  <c r="CQ155" i="1"/>
  <c r="P155" i="1" s="1"/>
  <c r="CR155" i="1"/>
  <c r="Q155" i="1" s="1"/>
  <c r="CS155" i="1"/>
  <c r="CT155" i="1"/>
  <c r="CU155" i="1"/>
  <c r="CV155" i="1"/>
  <c r="U155" i="1" s="1"/>
  <c r="GL155" i="1"/>
  <c r="GN155" i="1"/>
  <c r="GO155" i="1"/>
  <c r="GV155" i="1"/>
  <c r="HC155" i="1" s="1"/>
  <c r="GX155" i="1" s="1"/>
  <c r="C156" i="1"/>
  <c r="D156" i="1"/>
  <c r="Q156" i="1"/>
  <c r="R156" i="1"/>
  <c r="S156" i="1"/>
  <c r="CY156" i="1" s="1"/>
  <c r="X156" i="1" s="1"/>
  <c r="T156" i="1"/>
  <c r="U156" i="1"/>
  <c r="V156" i="1"/>
  <c r="W156" i="1"/>
  <c r="AC156" i="1"/>
  <c r="AE156" i="1"/>
  <c r="CR156" i="1" s="1"/>
  <c r="AF156" i="1"/>
  <c r="AG156" i="1"/>
  <c r="AH156" i="1"/>
  <c r="AI156" i="1"/>
  <c r="AJ156" i="1"/>
  <c r="CS156" i="1"/>
  <c r="CT156" i="1"/>
  <c r="CU156" i="1"/>
  <c r="CV156" i="1"/>
  <c r="CW156" i="1"/>
  <c r="CX156" i="1"/>
  <c r="CZ156" i="1"/>
  <c r="Y156" i="1" s="1"/>
  <c r="GK156" i="1"/>
  <c r="GL156" i="1"/>
  <c r="GN156" i="1"/>
  <c r="GO156" i="1"/>
  <c r="GV156" i="1"/>
  <c r="HC156" i="1"/>
  <c r="GX156" i="1" s="1"/>
  <c r="I157" i="1"/>
  <c r="AC157" i="1"/>
  <c r="AE157" i="1"/>
  <c r="AF157" i="1"/>
  <c r="CT157" i="1" s="1"/>
  <c r="S157" i="1" s="1"/>
  <c r="AG157" i="1"/>
  <c r="AH157" i="1"/>
  <c r="AI157" i="1"/>
  <c r="AJ157" i="1"/>
  <c r="CQ157" i="1"/>
  <c r="P157" i="1" s="1"/>
  <c r="CU157" i="1"/>
  <c r="T157" i="1" s="1"/>
  <c r="CV157" i="1"/>
  <c r="U157" i="1" s="1"/>
  <c r="CW157" i="1"/>
  <c r="V157" i="1" s="1"/>
  <c r="CX157" i="1"/>
  <c r="W157" i="1" s="1"/>
  <c r="GL157" i="1"/>
  <c r="GN157" i="1"/>
  <c r="GO157" i="1"/>
  <c r="GV157" i="1"/>
  <c r="HC157" i="1"/>
  <c r="GX157" i="1" s="1"/>
  <c r="B159" i="1"/>
  <c r="C159" i="1"/>
  <c r="D159" i="1"/>
  <c r="D137" i="1" s="1"/>
  <c r="F159" i="1"/>
  <c r="F137" i="1" s="1"/>
  <c r="G159" i="1"/>
  <c r="A353" i="7" s="1"/>
  <c r="BX159" i="1"/>
  <c r="BY159" i="1"/>
  <c r="CK159" i="1"/>
  <c r="BB159" i="1" s="1"/>
  <c r="BB137" i="1" s="1"/>
  <c r="CL159" i="1"/>
  <c r="BC159" i="1" s="1"/>
  <c r="CM159" i="1"/>
  <c r="F172" i="1"/>
  <c r="B189" i="1"/>
  <c r="C189" i="1"/>
  <c r="D189" i="1"/>
  <c r="F189" i="1"/>
  <c r="G189" i="1"/>
  <c r="G26" i="1" s="1"/>
  <c r="B219" i="1"/>
  <c r="C219" i="1"/>
  <c r="C22" i="1" s="1"/>
  <c r="D219" i="1"/>
  <c r="D22" i="1" s="1"/>
  <c r="F219" i="1"/>
  <c r="G219" i="1"/>
  <c r="B251" i="1"/>
  <c r="C251" i="1"/>
  <c r="C18" i="1" s="1"/>
  <c r="D251" i="1"/>
  <c r="D18" i="1" s="1"/>
  <c r="F251" i="1"/>
  <c r="F18" i="1" s="1"/>
  <c r="G251" i="1"/>
  <c r="F12" i="6"/>
  <c r="G12" i="6"/>
  <c r="G137" i="1" l="1"/>
  <c r="A224" i="7"/>
  <c r="A151" i="7"/>
  <c r="AF151" i="7"/>
  <c r="K42" i="7"/>
  <c r="P42" i="7"/>
  <c r="K79" i="7"/>
  <c r="P79" i="7"/>
  <c r="K244" i="7"/>
  <c r="P244" i="7"/>
  <c r="K254" i="7"/>
  <c r="P254" i="7"/>
  <c r="K222" i="7"/>
  <c r="P222" i="7"/>
  <c r="K129" i="7"/>
  <c r="P129" i="7"/>
  <c r="K137" i="7"/>
  <c r="P137" i="7"/>
  <c r="I96" i="7"/>
  <c r="P212" i="7"/>
  <c r="I270" i="7"/>
  <c r="K174" i="7"/>
  <c r="P174" i="7"/>
  <c r="I289" i="7"/>
  <c r="K322" i="7"/>
  <c r="P322" i="7"/>
  <c r="K351" i="7"/>
  <c r="P351" i="7"/>
  <c r="K116" i="7"/>
  <c r="P116" i="7"/>
  <c r="I122" i="7"/>
  <c r="K261" i="7"/>
  <c r="P261" i="7"/>
  <c r="P340" i="7"/>
  <c r="I308" i="7"/>
  <c r="I111" i="7"/>
  <c r="K297" i="7"/>
  <c r="P297" i="7"/>
  <c r="K149" i="7"/>
  <c r="P149" i="7"/>
  <c r="I167" i="7"/>
  <c r="K197" i="7"/>
  <c r="P197" i="7"/>
  <c r="K143" i="7"/>
  <c r="P143" i="7"/>
  <c r="I189" i="7"/>
  <c r="I315" i="7"/>
  <c r="K61" i="7"/>
  <c r="P61" i="7"/>
  <c r="I73" i="7"/>
  <c r="I67" i="7"/>
  <c r="P334" i="7"/>
  <c r="K334" i="7"/>
  <c r="I161" i="7"/>
  <c r="K181" i="7"/>
  <c r="P181" i="7"/>
  <c r="K102" i="7"/>
  <c r="P102" i="7"/>
  <c r="I55" i="7"/>
  <c r="P48" i="7"/>
  <c r="K48" i="7"/>
  <c r="I206" i="7"/>
  <c r="I86" i="7"/>
  <c r="I237" i="7"/>
  <c r="I281" i="7"/>
  <c r="J286" i="7"/>
  <c r="AQ105" i="1"/>
  <c r="BZ84" i="1"/>
  <c r="AT105" i="1"/>
  <c r="CC84" i="1"/>
  <c r="GM47" i="1"/>
  <c r="GP47" i="1" s="1"/>
  <c r="AT159" i="1"/>
  <c r="CC137" i="1"/>
  <c r="CP38" i="1"/>
  <c r="O38" i="1" s="1"/>
  <c r="AG30" i="1"/>
  <c r="T52" i="1"/>
  <c r="GM100" i="1"/>
  <c r="GP100" i="1" s="1"/>
  <c r="CY88" i="1"/>
  <c r="X88" i="1" s="1"/>
  <c r="CZ88" i="1"/>
  <c r="Y88" i="1" s="1"/>
  <c r="GM151" i="1"/>
  <c r="GP151" i="1" s="1"/>
  <c r="CJ52" i="1"/>
  <c r="CP155" i="1"/>
  <c r="O155" i="1" s="1"/>
  <c r="GM155" i="1" s="1"/>
  <c r="GP155" i="1" s="1"/>
  <c r="CZ49" i="1"/>
  <c r="Y49" i="1" s="1"/>
  <c r="CY49" i="1"/>
  <c r="X49" i="1" s="1"/>
  <c r="CZ86" i="1"/>
  <c r="Y86" i="1" s="1"/>
  <c r="CY86" i="1"/>
  <c r="X86" i="1" s="1"/>
  <c r="AF105" i="1"/>
  <c r="CB137" i="1"/>
  <c r="AS159" i="1"/>
  <c r="GM40" i="1"/>
  <c r="GP40" i="1" s="1"/>
  <c r="CP86" i="1"/>
  <c r="O86" i="1" s="1"/>
  <c r="AJ52" i="1"/>
  <c r="AB157" i="1"/>
  <c r="AH52" i="1"/>
  <c r="CP37" i="1"/>
  <c r="O37" i="1" s="1"/>
  <c r="CZ95" i="1"/>
  <c r="Y95" i="1" s="1"/>
  <c r="CY95" i="1"/>
  <c r="X95" i="1" s="1"/>
  <c r="CP32" i="1"/>
  <c r="O32" i="1" s="1"/>
  <c r="CX63" i="3"/>
  <c r="CV63" i="3"/>
  <c r="AD150" i="1"/>
  <c r="AB150" i="1" s="1"/>
  <c r="CP146" i="1"/>
  <c r="O146" i="1" s="1"/>
  <c r="GM146" i="1" s="1"/>
  <c r="GP146" i="1" s="1"/>
  <c r="CZ145" i="1"/>
  <c r="Y145" i="1" s="1"/>
  <c r="CR95" i="1"/>
  <c r="Q95" i="1" s="1"/>
  <c r="CP95" i="1" s="1"/>
  <c r="O95" i="1" s="1"/>
  <c r="GM95" i="1" s="1"/>
  <c r="GP95" i="1" s="1"/>
  <c r="CS95" i="1"/>
  <c r="R95" i="1" s="1"/>
  <c r="GK95" i="1" s="1"/>
  <c r="CY36" i="1"/>
  <c r="X36" i="1" s="1"/>
  <c r="AK52" i="1" s="1"/>
  <c r="CZ36" i="1"/>
  <c r="Y36" i="1" s="1"/>
  <c r="DF39" i="3"/>
  <c r="DJ39" i="3" s="1"/>
  <c r="DG39" i="3"/>
  <c r="DF26" i="3"/>
  <c r="DG26" i="3"/>
  <c r="CY144" i="1"/>
  <c r="X144" i="1" s="1"/>
  <c r="CZ144" i="1"/>
  <c r="Y144" i="1" s="1"/>
  <c r="CY102" i="1"/>
  <c r="X102" i="1" s="1"/>
  <c r="CZ102" i="1"/>
  <c r="Y102" i="1" s="1"/>
  <c r="AD95" i="1"/>
  <c r="CP91" i="1"/>
  <c r="O91" i="1" s="1"/>
  <c r="BC30" i="1"/>
  <c r="BC189" i="1"/>
  <c r="CY39" i="1"/>
  <c r="X39" i="1" s="1"/>
  <c r="CZ39" i="1"/>
  <c r="Y39" i="1" s="1"/>
  <c r="BB30" i="1"/>
  <c r="BB189" i="1"/>
  <c r="AD49" i="1"/>
  <c r="AB49" i="1" s="1"/>
  <c r="AI52" i="1"/>
  <c r="CZ139" i="1"/>
  <c r="Y139" i="1" s="1"/>
  <c r="AB90" i="1"/>
  <c r="BD84" i="1"/>
  <c r="AB38" i="1"/>
  <c r="DI43" i="3"/>
  <c r="DF43" i="3"/>
  <c r="DJ43" i="3" s="1"/>
  <c r="DG43" i="3"/>
  <c r="DH43" i="3"/>
  <c r="DG30" i="3"/>
  <c r="DH30" i="3"/>
  <c r="DI30" i="3"/>
  <c r="DJ30" i="3" s="1"/>
  <c r="CW78" i="3"/>
  <c r="CX78" i="3"/>
  <c r="CU77" i="3"/>
  <c r="CV77" i="3"/>
  <c r="I154" i="1"/>
  <c r="CY148" i="1"/>
  <c r="X148" i="1" s="1"/>
  <c r="CZ148" i="1"/>
  <c r="Y148" i="1" s="1"/>
  <c r="W147" i="1"/>
  <c r="Q145" i="1"/>
  <c r="CY139" i="1"/>
  <c r="X139" i="1" s="1"/>
  <c r="F122" i="1"/>
  <c r="CZ91" i="1"/>
  <c r="Y91" i="1" s="1"/>
  <c r="AB86" i="1"/>
  <c r="DG4" i="3"/>
  <c r="DH4" i="3"/>
  <c r="DI4" i="3"/>
  <c r="CZ153" i="1"/>
  <c r="Y153" i="1" s="1"/>
  <c r="CR148" i="1"/>
  <c r="Q148" i="1" s="1"/>
  <c r="CP148" i="1" s="1"/>
  <c r="O148" i="1" s="1"/>
  <c r="GM148" i="1" s="1"/>
  <c r="GP148" i="1" s="1"/>
  <c r="CS148" i="1"/>
  <c r="R148" i="1" s="1"/>
  <c r="GK148" i="1" s="1"/>
  <c r="T147" i="1"/>
  <c r="P145" i="1"/>
  <c r="F121" i="1"/>
  <c r="CY96" i="1"/>
  <c r="X96" i="1" s="1"/>
  <c r="CY92" i="1"/>
  <c r="X92" i="1" s="1"/>
  <c r="CZ92" i="1"/>
  <c r="Y92" i="1" s="1"/>
  <c r="BX84" i="1"/>
  <c r="AB46" i="1"/>
  <c r="DF11" i="3"/>
  <c r="DG11" i="3"/>
  <c r="DH11" i="3"/>
  <c r="DI11" i="3"/>
  <c r="DJ11" i="3" s="1"/>
  <c r="AD148" i="1"/>
  <c r="AB148" i="1" s="1"/>
  <c r="S147" i="1"/>
  <c r="CP147" i="1" s="1"/>
  <c r="O147" i="1" s="1"/>
  <c r="AD140" i="1"/>
  <c r="AB140" i="1" s="1"/>
  <c r="CR140" i="1"/>
  <c r="Q140" i="1" s="1"/>
  <c r="CP140" i="1" s="1"/>
  <c r="O140" i="1" s="1"/>
  <c r="GM140" i="1" s="1"/>
  <c r="GP140" i="1" s="1"/>
  <c r="CS140" i="1"/>
  <c r="R140" i="1" s="1"/>
  <c r="GK140" i="1" s="1"/>
  <c r="CZ47" i="1"/>
  <c r="Y47" i="1" s="1"/>
  <c r="CP42" i="1"/>
  <c r="O42" i="1" s="1"/>
  <c r="DI45" i="3"/>
  <c r="DF45" i="3"/>
  <c r="DJ45" i="3" s="1"/>
  <c r="DG45" i="3"/>
  <c r="DH45" i="3"/>
  <c r="DF23" i="3"/>
  <c r="DJ23" i="3" s="1"/>
  <c r="DG23" i="3"/>
  <c r="DH23" i="3"/>
  <c r="DI23" i="3"/>
  <c r="DH2" i="3"/>
  <c r="DI2" i="3"/>
  <c r="DJ2" i="3" s="1"/>
  <c r="W153" i="1"/>
  <c r="V96" i="1"/>
  <c r="AI105" i="1" s="1"/>
  <c r="CR88" i="1"/>
  <c r="Q88" i="1" s="1"/>
  <c r="CP88" i="1" s="1"/>
  <c r="O88" i="1" s="1"/>
  <c r="GM88" i="1" s="1"/>
  <c r="GP88" i="1" s="1"/>
  <c r="CS88" i="1"/>
  <c r="R88" i="1" s="1"/>
  <c r="GK88" i="1" s="1"/>
  <c r="AO52" i="1"/>
  <c r="V153" i="1"/>
  <c r="U96" i="1"/>
  <c r="CZ93" i="1"/>
  <c r="Y93" i="1" s="1"/>
  <c r="CY93" i="1"/>
  <c r="X93" i="1" s="1"/>
  <c r="AD88" i="1"/>
  <c r="CY46" i="1"/>
  <c r="X46" i="1" s="1"/>
  <c r="GM46" i="1" s="1"/>
  <c r="GP46" i="1" s="1"/>
  <c r="CZ46" i="1"/>
  <c r="Y46" i="1" s="1"/>
  <c r="CY40" i="1"/>
  <c r="X40" i="1" s="1"/>
  <c r="CZ40" i="1"/>
  <c r="Y40" i="1" s="1"/>
  <c r="CQ33" i="1"/>
  <c r="P33" i="1" s="1"/>
  <c r="CP33" i="1" s="1"/>
  <c r="O33" i="1" s="1"/>
  <c r="GM33" i="1" s="1"/>
  <c r="GP33" i="1" s="1"/>
  <c r="AB33" i="1"/>
  <c r="DI47" i="3"/>
  <c r="DH47" i="3"/>
  <c r="DF47" i="3"/>
  <c r="DJ47" i="3" s="1"/>
  <c r="DG47" i="3"/>
  <c r="DI25" i="3"/>
  <c r="DJ25" i="3" s="1"/>
  <c r="DF25" i="3"/>
  <c r="DG25" i="3"/>
  <c r="DH25" i="3"/>
  <c r="CY157" i="1"/>
  <c r="X157" i="1" s="1"/>
  <c r="CZ157" i="1"/>
  <c r="Y157" i="1" s="1"/>
  <c r="V154" i="1"/>
  <c r="U153" i="1"/>
  <c r="CY152" i="1"/>
  <c r="X152" i="1" s="1"/>
  <c r="GM152" i="1" s="1"/>
  <c r="GP152" i="1" s="1"/>
  <c r="CZ152" i="1"/>
  <c r="Y152" i="1" s="1"/>
  <c r="CY141" i="1"/>
  <c r="X141" i="1" s="1"/>
  <c r="T96" i="1"/>
  <c r="CR93" i="1"/>
  <c r="Q93" i="1" s="1"/>
  <c r="CP93" i="1" s="1"/>
  <c r="O93" i="1" s="1"/>
  <c r="GM93" i="1" s="1"/>
  <c r="GP93" i="1" s="1"/>
  <c r="CS93" i="1"/>
  <c r="R93" i="1" s="1"/>
  <c r="GK93" i="1" s="1"/>
  <c r="F68" i="1"/>
  <c r="CS45" i="1"/>
  <c r="R45" i="1" s="1"/>
  <c r="GK45" i="1" s="1"/>
  <c r="GM45" i="1" s="1"/>
  <c r="GP45" i="1" s="1"/>
  <c r="AD45" i="1"/>
  <c r="AB45" i="1" s="1"/>
  <c r="CR44" i="1"/>
  <c r="Q44" i="1" s="1"/>
  <c r="CP44" i="1" s="1"/>
  <c r="O44" i="1" s="1"/>
  <c r="GM44" i="1" s="1"/>
  <c r="GP44" i="1" s="1"/>
  <c r="CS44" i="1"/>
  <c r="R44" i="1" s="1"/>
  <c r="GK44" i="1" s="1"/>
  <c r="DI64" i="3"/>
  <c r="DF64" i="3"/>
  <c r="DG7" i="3"/>
  <c r="DH7" i="3"/>
  <c r="DI7" i="3"/>
  <c r="DJ7" i="3" s="1"/>
  <c r="CR157" i="1"/>
  <c r="Q157" i="1" s="1"/>
  <c r="CP157" i="1" s="1"/>
  <c r="O157" i="1" s="1"/>
  <c r="GM157" i="1" s="1"/>
  <c r="GP157" i="1" s="1"/>
  <c r="CS157" i="1"/>
  <c r="R157" i="1" s="1"/>
  <c r="GK157" i="1" s="1"/>
  <c r="U154" i="1"/>
  <c r="R87" i="1"/>
  <c r="AD44" i="1"/>
  <c r="AB44" i="1" s="1"/>
  <c r="DH74" i="3"/>
  <c r="DI74" i="3"/>
  <c r="AD157" i="1"/>
  <c r="CY143" i="1"/>
  <c r="X143" i="1" s="1"/>
  <c r="GM143" i="1" s="1"/>
  <c r="GP143" i="1" s="1"/>
  <c r="Q96" i="1"/>
  <c r="F65" i="1"/>
  <c r="CW66" i="3"/>
  <c r="CX66" i="3"/>
  <c r="DI57" i="3"/>
  <c r="DJ57" i="3" s="1"/>
  <c r="DF57" i="3"/>
  <c r="DG57" i="3"/>
  <c r="DH57" i="3"/>
  <c r="DI13" i="3"/>
  <c r="DF13" i="3"/>
  <c r="DJ13" i="3" s="1"/>
  <c r="DH13" i="3"/>
  <c r="V147" i="1"/>
  <c r="AI159" i="1" s="1"/>
  <c r="AB100" i="1"/>
  <c r="CZ98" i="1"/>
  <c r="Y98" i="1" s="1"/>
  <c r="CQ96" i="1"/>
  <c r="P96" i="1" s="1"/>
  <c r="CP96" i="1" s="1"/>
  <c r="O96" i="1" s="1"/>
  <c r="GM96" i="1" s="1"/>
  <c r="GP96" i="1" s="1"/>
  <c r="AB93" i="1"/>
  <c r="DH72" i="3"/>
  <c r="DI72" i="3"/>
  <c r="DJ72" i="3" s="1"/>
  <c r="DF42" i="3"/>
  <c r="DJ42" i="3" s="1"/>
  <c r="DG42" i="3"/>
  <c r="DH42" i="3"/>
  <c r="DI42" i="3"/>
  <c r="U147" i="1"/>
  <c r="AH159" i="1" s="1"/>
  <c r="GX145" i="1"/>
  <c r="CP48" i="1"/>
  <c r="O48" i="1" s="1"/>
  <c r="GM48" i="1" s="1"/>
  <c r="GP48" i="1" s="1"/>
  <c r="DH24" i="3"/>
  <c r="AD139" i="1"/>
  <c r="AB139" i="1" s="1"/>
  <c r="CR139" i="1"/>
  <c r="Q139" i="1" s="1"/>
  <c r="CS139" i="1"/>
  <c r="R139" i="1" s="1"/>
  <c r="CY99" i="1"/>
  <c r="X99" i="1" s="1"/>
  <c r="CZ99" i="1"/>
  <c r="Y99" i="1" s="1"/>
  <c r="AB48" i="1"/>
  <c r="DG59" i="3"/>
  <c r="DJ59" i="3" s="1"/>
  <c r="DF59" i="3"/>
  <c r="DH59" i="3"/>
  <c r="DI59" i="3"/>
  <c r="DH39" i="3"/>
  <c r="DF31" i="3"/>
  <c r="DG31" i="3"/>
  <c r="DH31" i="3"/>
  <c r="CV29" i="3"/>
  <c r="CX29" i="3"/>
  <c r="DI26" i="3"/>
  <c r="DJ26" i="3" s="1"/>
  <c r="DG24" i="3"/>
  <c r="DH22" i="3"/>
  <c r="DF22" i="3"/>
  <c r="DJ22" i="3" s="1"/>
  <c r="DG22" i="3"/>
  <c r="DH20" i="3"/>
  <c r="DI20" i="3"/>
  <c r="AD156" i="1"/>
  <c r="AB156" i="1" s="1"/>
  <c r="CG105" i="1"/>
  <c r="CR99" i="1"/>
  <c r="Q99" i="1" s="1"/>
  <c r="CP99" i="1" s="1"/>
  <c r="O99" i="1" s="1"/>
  <c r="GM99" i="1" s="1"/>
  <c r="GP99" i="1" s="1"/>
  <c r="CS99" i="1"/>
  <c r="R99" i="1" s="1"/>
  <c r="GK99" i="1" s="1"/>
  <c r="AD99" i="1"/>
  <c r="CZ94" i="1"/>
  <c r="Y94" i="1" s="1"/>
  <c r="GM94" i="1" s="1"/>
  <c r="GP94" i="1" s="1"/>
  <c r="P92" i="1"/>
  <c r="CP92" i="1" s="1"/>
  <c r="O92" i="1" s="1"/>
  <c r="GM92" i="1" s="1"/>
  <c r="GP92" i="1" s="1"/>
  <c r="CZ37" i="1"/>
  <c r="Y37" i="1" s="1"/>
  <c r="AB32" i="1"/>
  <c r="CX80" i="3"/>
  <c r="DH26" i="3"/>
  <c r="DF24" i="3"/>
  <c r="DJ24" i="3" s="1"/>
  <c r="CQ156" i="1"/>
  <c r="P156" i="1" s="1"/>
  <c r="CP156" i="1" s="1"/>
  <c r="O156" i="1" s="1"/>
  <c r="GM156" i="1" s="1"/>
  <c r="GP156" i="1" s="1"/>
  <c r="CP141" i="1"/>
  <c r="O141" i="1" s="1"/>
  <c r="GM141" i="1" s="1"/>
  <c r="GP141" i="1" s="1"/>
  <c r="AB92" i="1"/>
  <c r="AD91" i="1"/>
  <c r="AB91" i="1" s="1"/>
  <c r="CR91" i="1"/>
  <c r="Q91" i="1" s="1"/>
  <c r="CS91" i="1"/>
  <c r="R91" i="1" s="1"/>
  <c r="GK91" i="1" s="1"/>
  <c r="BD52" i="1"/>
  <c r="CM30" i="1"/>
  <c r="CY44" i="1"/>
  <c r="X44" i="1" s="1"/>
  <c r="CZ44" i="1"/>
  <c r="Y44" i="1" s="1"/>
  <c r="DH56" i="3"/>
  <c r="DG18" i="3"/>
  <c r="DH18" i="3"/>
  <c r="AB99" i="1"/>
  <c r="W94" i="1"/>
  <c r="CZ89" i="1"/>
  <c r="Y89" i="1" s="1"/>
  <c r="CS49" i="1"/>
  <c r="R49" i="1" s="1"/>
  <c r="GK49" i="1" s="1"/>
  <c r="CV61" i="3"/>
  <c r="CX61" i="3"/>
  <c r="DG56" i="3"/>
  <c r="DJ56" i="3" s="1"/>
  <c r="CX33" i="3"/>
  <c r="CW33" i="3"/>
  <c r="W105" i="1"/>
  <c r="AJ84" i="1"/>
  <c r="DF1" i="3"/>
  <c r="DG1" i="3"/>
  <c r="DJ1" i="3" s="1"/>
  <c r="AB39" i="1"/>
  <c r="CQ39" i="1"/>
  <c r="P39" i="1" s="1"/>
  <c r="CR34" i="1"/>
  <c r="Q34" i="1" s="1"/>
  <c r="CP34" i="1" s="1"/>
  <c r="O34" i="1" s="1"/>
  <c r="GM34" i="1" s="1"/>
  <c r="GP34" i="1" s="1"/>
  <c r="CS34" i="1"/>
  <c r="R34" i="1" s="1"/>
  <c r="GK34" i="1" s="1"/>
  <c r="AB146" i="1"/>
  <c r="CY38" i="1"/>
  <c r="X38" i="1" s="1"/>
  <c r="CZ38" i="1"/>
  <c r="Y38" i="1" s="1"/>
  <c r="BY84" i="1"/>
  <c r="AP105" i="1"/>
  <c r="CR102" i="1"/>
  <c r="Q102" i="1" s="1"/>
  <c r="CP102" i="1" s="1"/>
  <c r="O102" i="1" s="1"/>
  <c r="GM102" i="1" s="1"/>
  <c r="GP102" i="1" s="1"/>
  <c r="CS102" i="1"/>
  <c r="R102" i="1" s="1"/>
  <c r="GK102" i="1" s="1"/>
  <c r="CR38" i="1"/>
  <c r="Q38" i="1" s="1"/>
  <c r="CS38" i="1"/>
  <c r="R38" i="1" s="1"/>
  <c r="GK38" i="1" s="1"/>
  <c r="DI67" i="3"/>
  <c r="DF67" i="3"/>
  <c r="DJ67" i="3" s="1"/>
  <c r="DG67" i="3"/>
  <c r="DG65" i="3"/>
  <c r="DH65" i="3"/>
  <c r="DF65" i="3"/>
  <c r="BZ159" i="1"/>
  <c r="F109" i="1"/>
  <c r="AO84" i="1"/>
  <c r="AD102" i="1"/>
  <c r="AB102" i="1" s="1"/>
  <c r="AB95" i="1"/>
  <c r="AB34" i="1"/>
  <c r="DF58" i="3"/>
  <c r="DG58" i="3"/>
  <c r="DH58" i="3"/>
  <c r="DI58" i="3"/>
  <c r="DJ58" i="3" s="1"/>
  <c r="DI8" i="3"/>
  <c r="DJ8" i="3" s="1"/>
  <c r="DF8" i="3"/>
  <c r="DG8" i="3"/>
  <c r="CB84" i="1"/>
  <c r="T153" i="1"/>
  <c r="AD93" i="1"/>
  <c r="AB88" i="1"/>
  <c r="CZ42" i="1"/>
  <c r="Y42" i="1" s="1"/>
  <c r="DF51" i="3"/>
  <c r="DG51" i="3"/>
  <c r="DI51" i="3"/>
  <c r="DJ51" i="3" s="1"/>
  <c r="CV38" i="3"/>
  <c r="CX38" i="3"/>
  <c r="CR150" i="1"/>
  <c r="Q150" i="1" s="1"/>
  <c r="CP150" i="1" s="1"/>
  <c r="O150" i="1" s="1"/>
  <c r="GM150" i="1" s="1"/>
  <c r="GP150" i="1" s="1"/>
  <c r="CZ34" i="1"/>
  <c r="Y34" i="1" s="1"/>
  <c r="AL52" i="1" s="1"/>
  <c r="DI82" i="3"/>
  <c r="DJ82" i="3" s="1"/>
  <c r="DF82" i="3"/>
  <c r="DG82" i="3"/>
  <c r="DH82" i="3"/>
  <c r="DF27" i="3"/>
  <c r="DG27" i="3"/>
  <c r="DJ27" i="3" s="1"/>
  <c r="DI27" i="3"/>
  <c r="DH27" i="3"/>
  <c r="AP159" i="1"/>
  <c r="BY137" i="1"/>
  <c r="CZ155" i="1"/>
  <c r="Y155" i="1" s="1"/>
  <c r="CZ146" i="1"/>
  <c r="Y146" i="1" s="1"/>
  <c r="CP98" i="1"/>
  <c r="O98" i="1" s="1"/>
  <c r="CP89" i="1"/>
  <c r="O89" i="1" s="1"/>
  <c r="CX55" i="3"/>
  <c r="CV55" i="3"/>
  <c r="AO159" i="1"/>
  <c r="BX137" i="1"/>
  <c r="CG159" i="1"/>
  <c r="CI105" i="1"/>
  <c r="Q101" i="1"/>
  <c r="CP101" i="1" s="1"/>
  <c r="O101" i="1" s="1"/>
  <c r="GM101" i="1" s="1"/>
  <c r="GP101" i="1" s="1"/>
  <c r="GX101" i="1"/>
  <c r="AF52" i="1"/>
  <c r="CB52" i="1"/>
  <c r="DF84" i="3"/>
  <c r="DJ84" i="3" s="1"/>
  <c r="DG84" i="3"/>
  <c r="DH84" i="3"/>
  <c r="DI84" i="3"/>
  <c r="DI39" i="3"/>
  <c r="DH1" i="3"/>
  <c r="CY150" i="1"/>
  <c r="X150" i="1" s="1"/>
  <c r="CZ150" i="1"/>
  <c r="Y150" i="1" s="1"/>
  <c r="CS146" i="1"/>
  <c r="R146" i="1" s="1"/>
  <c r="GK146" i="1" s="1"/>
  <c r="CR146" i="1"/>
  <c r="Q146" i="1" s="1"/>
  <c r="CY140" i="1"/>
  <c r="X140" i="1" s="1"/>
  <c r="DF49" i="3"/>
  <c r="DJ49" i="3" s="1"/>
  <c r="DG49" i="3"/>
  <c r="DH49" i="3"/>
  <c r="DI49" i="3"/>
  <c r="T92" i="1"/>
  <c r="AG105" i="1" s="1"/>
  <c r="U92" i="1"/>
  <c r="AH105" i="1" s="1"/>
  <c r="CR39" i="1"/>
  <c r="Q39" i="1" s="1"/>
  <c r="CS39" i="1"/>
  <c r="R39" i="1" s="1"/>
  <c r="GK39" i="1" s="1"/>
  <c r="CC52" i="1"/>
  <c r="AD52" i="1"/>
  <c r="DF56" i="3"/>
  <c r="DG37" i="3"/>
  <c r="DH37" i="3"/>
  <c r="DF37" i="3"/>
  <c r="DJ37" i="3" s="1"/>
  <c r="DI37" i="3"/>
  <c r="AB101" i="1"/>
  <c r="GX94" i="1"/>
  <c r="CR35" i="1"/>
  <c r="Q35" i="1" s="1"/>
  <c r="CP35" i="1" s="1"/>
  <c r="O35" i="1" s="1"/>
  <c r="GM35" i="1" s="1"/>
  <c r="GP35" i="1" s="1"/>
  <c r="CS35" i="1"/>
  <c r="R35" i="1" s="1"/>
  <c r="GK35" i="1" s="1"/>
  <c r="DH54" i="3"/>
  <c r="DI54" i="3"/>
  <c r="CR153" i="1"/>
  <c r="Q153" i="1" s="1"/>
  <c r="CS153" i="1"/>
  <c r="R153" i="1" s="1"/>
  <c r="GK153" i="1" s="1"/>
  <c r="CP144" i="1"/>
  <c r="O144" i="1" s="1"/>
  <c r="GM144" i="1" s="1"/>
  <c r="GP144" i="1" s="1"/>
  <c r="AD35" i="1"/>
  <c r="AB35" i="1" s="1"/>
  <c r="CM137" i="1"/>
  <c r="BD159" i="1"/>
  <c r="AD153" i="1"/>
  <c r="CU70" i="3"/>
  <c r="CV70" i="3"/>
  <c r="CX70" i="3"/>
  <c r="DF10" i="3"/>
  <c r="DJ10" i="3" s="1"/>
  <c r="DG10" i="3"/>
  <c r="F175" i="1"/>
  <c r="BC137" i="1"/>
  <c r="AB153" i="1"/>
  <c r="CQ153" i="1"/>
  <c r="P153" i="1" s="1"/>
  <c r="CP153" i="1" s="1"/>
  <c r="O153" i="1" s="1"/>
  <c r="GM153" i="1" s="1"/>
  <c r="GP153" i="1" s="1"/>
  <c r="AB42" i="1"/>
  <c r="AB40" i="1"/>
  <c r="AD145" i="1"/>
  <c r="AB145" i="1" s="1"/>
  <c r="AD143" i="1"/>
  <c r="AB143" i="1" s="1"/>
  <c r="AD47" i="1"/>
  <c r="AB47" i="1" s="1"/>
  <c r="CX79" i="3"/>
  <c r="DF69" i="3"/>
  <c r="DJ69" i="3" s="1"/>
  <c r="DG69" i="3"/>
  <c r="DH69" i="3"/>
  <c r="DG50" i="3"/>
  <c r="DH50" i="3"/>
  <c r="DH41" i="3"/>
  <c r="DF41" i="3"/>
  <c r="DG41" i="3"/>
  <c r="DI41" i="3"/>
  <c r="DJ41" i="3" s="1"/>
  <c r="GX147" i="1"/>
  <c r="CV81" i="3"/>
  <c r="CX81" i="3"/>
  <c r="CX77" i="3"/>
  <c r="DF12" i="3"/>
  <c r="DG12" i="3"/>
  <c r="DJ12" i="3" s="1"/>
  <c r="DH12" i="3"/>
  <c r="DI12" i="3"/>
  <c r="BB105" i="1"/>
  <c r="CK84" i="1"/>
  <c r="BY30" i="1"/>
  <c r="AP52" i="1"/>
  <c r="CX71" i="3"/>
  <c r="CX44" i="3"/>
  <c r="CV44" i="3"/>
  <c r="AD50" i="1"/>
  <c r="AB50" i="1" s="1"/>
  <c r="AD41" i="1"/>
  <c r="AB41" i="1" s="1"/>
  <c r="CP49" i="1"/>
  <c r="O49" i="1" s="1"/>
  <c r="DG32" i="3"/>
  <c r="DH32" i="3"/>
  <c r="DF17" i="3"/>
  <c r="DG17" i="3"/>
  <c r="DJ17" i="3" s="1"/>
  <c r="DH17" i="3"/>
  <c r="CP139" i="1"/>
  <c r="O139" i="1" s="1"/>
  <c r="GX87" i="1"/>
  <c r="CJ105" i="1" s="1"/>
  <c r="CV46" i="3"/>
  <c r="CX46" i="3"/>
  <c r="AB144" i="1"/>
  <c r="AD86" i="1"/>
  <c r="BZ52" i="1"/>
  <c r="CX76" i="3"/>
  <c r="K315" i="7" l="1"/>
  <c r="P315" i="7"/>
  <c r="K189" i="7"/>
  <c r="P189" i="7"/>
  <c r="K289" i="7"/>
  <c r="P289" i="7"/>
  <c r="P281" i="7"/>
  <c r="K281" i="7"/>
  <c r="P270" i="7"/>
  <c r="K270" i="7"/>
  <c r="P237" i="7"/>
  <c r="I353" i="7" s="1"/>
  <c r="K237" i="7"/>
  <c r="P86" i="7"/>
  <c r="K86" i="7"/>
  <c r="K167" i="7"/>
  <c r="P167" i="7"/>
  <c r="P96" i="7"/>
  <c r="K96" i="7"/>
  <c r="K206" i="7"/>
  <c r="P206" i="7"/>
  <c r="P55" i="7"/>
  <c r="I359" i="7" s="1"/>
  <c r="K55" i="7"/>
  <c r="P111" i="7"/>
  <c r="K111" i="7"/>
  <c r="K308" i="7"/>
  <c r="P308" i="7"/>
  <c r="K161" i="7"/>
  <c r="P161" i="7"/>
  <c r="P122" i="7"/>
  <c r="K122" i="7"/>
  <c r="K67" i="7"/>
  <c r="P67" i="7"/>
  <c r="P73" i="7"/>
  <c r="K73" i="7"/>
  <c r="CJ84" i="1"/>
  <c r="BA105" i="1"/>
  <c r="U159" i="1"/>
  <c r="AH137" i="1"/>
  <c r="X52" i="1"/>
  <c r="AK30" i="1"/>
  <c r="AL30" i="1"/>
  <c r="Y52" i="1"/>
  <c r="GM147" i="1"/>
  <c r="GP147" i="1" s="1"/>
  <c r="AG84" i="1"/>
  <c r="T105" i="1"/>
  <c r="AI84" i="1"/>
  <c r="V105" i="1"/>
  <c r="V159" i="1"/>
  <c r="AI137" i="1"/>
  <c r="AH84" i="1"/>
  <c r="U105" i="1"/>
  <c r="AP84" i="1"/>
  <c r="F114" i="1"/>
  <c r="AE105" i="1"/>
  <c r="GK87" i="1"/>
  <c r="GM87" i="1" s="1"/>
  <c r="GP87" i="1" s="1"/>
  <c r="V52" i="1"/>
  <c r="AI30" i="1"/>
  <c r="DG77" i="3"/>
  <c r="DF77" i="3"/>
  <c r="DH77" i="3"/>
  <c r="DI77" i="3"/>
  <c r="DJ77" i="3" s="1"/>
  <c r="AO30" i="1"/>
  <c r="F56" i="1"/>
  <c r="AO189" i="1"/>
  <c r="GM86" i="1"/>
  <c r="AB105" i="1"/>
  <c r="DG81" i="3"/>
  <c r="DF81" i="3"/>
  <c r="DH81" i="3"/>
  <c r="DI81" i="3"/>
  <c r="DJ81" i="3" s="1"/>
  <c r="BB26" i="1"/>
  <c r="BB219" i="1"/>
  <c r="F202" i="1"/>
  <c r="CB30" i="1"/>
  <c r="AS52" i="1"/>
  <c r="AE52" i="1"/>
  <c r="F73" i="1"/>
  <c r="T30" i="1"/>
  <c r="DF70" i="3"/>
  <c r="DG70" i="3"/>
  <c r="DH70" i="3"/>
  <c r="DI70" i="3"/>
  <c r="DJ70" i="3" s="1"/>
  <c r="CC30" i="1"/>
  <c r="AT52" i="1"/>
  <c r="S52" i="1"/>
  <c r="AF30" i="1"/>
  <c r="AX105" i="1"/>
  <c r="CG84" i="1"/>
  <c r="GM38" i="1"/>
  <c r="GP38" i="1" s="1"/>
  <c r="GM49" i="1"/>
  <c r="GP49" i="1" s="1"/>
  <c r="GK139" i="1"/>
  <c r="GM139" i="1" s="1"/>
  <c r="AE159" i="1"/>
  <c r="S154" i="1"/>
  <c r="P154" i="1"/>
  <c r="CP154" i="1" s="1"/>
  <c r="O154" i="1" s="1"/>
  <c r="R154" i="1"/>
  <c r="GK154" i="1" s="1"/>
  <c r="GX154" i="1"/>
  <c r="CJ159" i="1" s="1"/>
  <c r="BC26" i="1"/>
  <c r="BC219" i="1"/>
  <c r="F205" i="1"/>
  <c r="AZ105" i="1"/>
  <c r="CI84" i="1"/>
  <c r="CP39" i="1"/>
  <c r="O39" i="1" s="1"/>
  <c r="GM39" i="1" s="1"/>
  <c r="GP39" i="1" s="1"/>
  <c r="F177" i="1"/>
  <c r="AT137" i="1"/>
  <c r="F184" i="1"/>
  <c r="BD137" i="1"/>
  <c r="DG38" i="3"/>
  <c r="DH38" i="3"/>
  <c r="DI38" i="3"/>
  <c r="DJ38" i="3" s="1"/>
  <c r="DF38" i="3"/>
  <c r="GM91" i="1"/>
  <c r="GP91" i="1" s="1"/>
  <c r="DH63" i="3"/>
  <c r="DF63" i="3"/>
  <c r="DI63" i="3"/>
  <c r="DJ63" i="3" s="1"/>
  <c r="DG63" i="3"/>
  <c r="AQ159" i="1"/>
  <c r="BZ137" i="1"/>
  <c r="DF78" i="3"/>
  <c r="DG78" i="3"/>
  <c r="DJ78" i="3" s="1"/>
  <c r="DH78" i="3"/>
  <c r="DI78" i="3"/>
  <c r="AC52" i="1"/>
  <c r="DF44" i="3"/>
  <c r="DG44" i="3"/>
  <c r="DI44" i="3"/>
  <c r="DJ44" i="3" s="1"/>
  <c r="DH44" i="3"/>
  <c r="AO137" i="1"/>
  <c r="F163" i="1"/>
  <c r="DI66" i="3"/>
  <c r="DF66" i="3"/>
  <c r="DG66" i="3"/>
  <c r="DJ66" i="3" s="1"/>
  <c r="DH66" i="3"/>
  <c r="GM32" i="1"/>
  <c r="AB52" i="1"/>
  <c r="AT84" i="1"/>
  <c r="F123" i="1"/>
  <c r="AL105" i="1"/>
  <c r="DF71" i="3"/>
  <c r="DJ71" i="3" s="1"/>
  <c r="DI71" i="3"/>
  <c r="DG71" i="3"/>
  <c r="DH71" i="3"/>
  <c r="DG55" i="3"/>
  <c r="DH55" i="3"/>
  <c r="DI55" i="3"/>
  <c r="DJ55" i="3" s="1"/>
  <c r="DF55" i="3"/>
  <c r="CP145" i="1"/>
  <c r="O145" i="1" s="1"/>
  <c r="GM145" i="1" s="1"/>
  <c r="GP145" i="1" s="1"/>
  <c r="AQ84" i="1"/>
  <c r="F115" i="1"/>
  <c r="GM89" i="1"/>
  <c r="GP89" i="1" s="1"/>
  <c r="AD105" i="1"/>
  <c r="DG79" i="3"/>
  <c r="DH79" i="3"/>
  <c r="DI79" i="3"/>
  <c r="DF79" i="3"/>
  <c r="DJ79" i="3" s="1"/>
  <c r="GM98" i="1"/>
  <c r="GP98" i="1" s="1"/>
  <c r="DF29" i="3"/>
  <c r="DG29" i="3"/>
  <c r="DH29" i="3"/>
  <c r="DI29" i="3"/>
  <c r="DJ29" i="3" s="1"/>
  <c r="AQ52" i="1"/>
  <c r="BZ30" i="1"/>
  <c r="CI52" i="1"/>
  <c r="GM37" i="1"/>
  <c r="GP37" i="1" s="1"/>
  <c r="DG33" i="3"/>
  <c r="DJ33" i="3" s="1"/>
  <c r="DF33" i="3"/>
  <c r="DI33" i="3"/>
  <c r="DH33" i="3"/>
  <c r="T154" i="1"/>
  <c r="AG159" i="1" s="1"/>
  <c r="U52" i="1"/>
  <c r="AH30" i="1"/>
  <c r="CJ30" i="1"/>
  <c r="BA52" i="1"/>
  <c r="Q154" i="1"/>
  <c r="AD159" i="1" s="1"/>
  <c r="CI159" i="1"/>
  <c r="GM42" i="1"/>
  <c r="GP42" i="1" s="1"/>
  <c r="CG52" i="1"/>
  <c r="DF61" i="3"/>
  <c r="DG61" i="3"/>
  <c r="DH61" i="3"/>
  <c r="DI61" i="3"/>
  <c r="DJ61" i="3" s="1"/>
  <c r="GM36" i="1"/>
  <c r="GP36" i="1" s="1"/>
  <c r="AJ30" i="1"/>
  <c r="W52" i="1"/>
  <c r="CZ147" i="1"/>
  <c r="Y147" i="1" s="1"/>
  <c r="CY147" i="1"/>
  <c r="X147" i="1" s="1"/>
  <c r="AC105" i="1"/>
  <c r="Q52" i="1"/>
  <c r="AD30" i="1"/>
  <c r="F176" i="1"/>
  <c r="AS137" i="1"/>
  <c r="W154" i="1"/>
  <c r="AJ159" i="1" s="1"/>
  <c r="CG137" i="1"/>
  <c r="AX159" i="1"/>
  <c r="BD30" i="1"/>
  <c r="F77" i="1"/>
  <c r="BD189" i="1"/>
  <c r="S105" i="1"/>
  <c r="AF84" i="1"/>
  <c r="AK105" i="1"/>
  <c r="AP189" i="1"/>
  <c r="AP30" i="1"/>
  <c r="F61" i="1"/>
  <c r="F129" i="1"/>
  <c r="W84" i="1"/>
  <c r="DF76" i="3"/>
  <c r="DG76" i="3"/>
  <c r="DH76" i="3"/>
  <c r="DI76" i="3"/>
  <c r="DJ76" i="3" s="1"/>
  <c r="F118" i="1"/>
  <c r="BB84" i="1"/>
  <c r="DH46" i="3"/>
  <c r="DF46" i="3"/>
  <c r="DG46" i="3"/>
  <c r="DI46" i="3"/>
  <c r="DJ46" i="3" s="1"/>
  <c r="F168" i="1"/>
  <c r="AP137" i="1"/>
  <c r="DF80" i="3"/>
  <c r="DJ80" i="3" s="1"/>
  <c r="DG80" i="3"/>
  <c r="DH80" i="3"/>
  <c r="DI80" i="3"/>
  <c r="I364" i="7" l="1"/>
  <c r="I356" i="7"/>
  <c r="I151" i="7"/>
  <c r="I224" i="7"/>
  <c r="AL159" i="1"/>
  <c r="GP139" i="1"/>
  <c r="AD137" i="1"/>
  <c r="Q159" i="1"/>
  <c r="W159" i="1"/>
  <c r="AJ137" i="1"/>
  <c r="CY154" i="1"/>
  <c r="X154" i="1" s="1"/>
  <c r="AK159" i="1" s="1"/>
  <c r="CZ154" i="1"/>
  <c r="Y154" i="1" s="1"/>
  <c r="R105" i="1"/>
  <c r="AE84" i="1"/>
  <c r="AB30" i="1"/>
  <c r="O52" i="1"/>
  <c r="CG30" i="1"/>
  <c r="AX52" i="1"/>
  <c r="CA52" i="1"/>
  <c r="GP32" i="1"/>
  <c r="CD52" i="1" s="1"/>
  <c r="U84" i="1"/>
  <c r="F127" i="1"/>
  <c r="CI137" i="1"/>
  <c r="AZ159" i="1"/>
  <c r="AD84" i="1"/>
  <c r="Q105" i="1"/>
  <c r="O105" i="1"/>
  <c r="AB84" i="1"/>
  <c r="GP86" i="1"/>
  <c r="CD105" i="1" s="1"/>
  <c r="CA105" i="1"/>
  <c r="AC159" i="1"/>
  <c r="Q30" i="1"/>
  <c r="Q189" i="1"/>
  <c r="F64" i="1"/>
  <c r="Y30" i="1"/>
  <c r="F79" i="1"/>
  <c r="AF159" i="1"/>
  <c r="F116" i="1"/>
  <c r="AZ84" i="1"/>
  <c r="AZ52" i="1"/>
  <c r="CI30" i="1"/>
  <c r="X30" i="1"/>
  <c r="F78" i="1"/>
  <c r="W30" i="1"/>
  <c r="F76" i="1"/>
  <c r="BC251" i="1"/>
  <c r="BC22" i="1"/>
  <c r="F235" i="1"/>
  <c r="F75" i="1"/>
  <c r="V189" i="1"/>
  <c r="V30" i="1"/>
  <c r="F62" i="1"/>
  <c r="AQ30" i="1"/>
  <c r="AQ189" i="1"/>
  <c r="R52" i="1"/>
  <c r="AE30" i="1"/>
  <c r="U137" i="1"/>
  <c r="F181" i="1"/>
  <c r="CJ137" i="1"/>
  <c r="BA159" i="1"/>
  <c r="AS30" i="1"/>
  <c r="AS189" i="1"/>
  <c r="F69" i="1"/>
  <c r="AB159" i="1"/>
  <c r="F125" i="1"/>
  <c r="BA84" i="1"/>
  <c r="AP26" i="1"/>
  <c r="F198" i="1"/>
  <c r="AP219" i="1"/>
  <c r="F232" i="1"/>
  <c r="BB251" i="1"/>
  <c r="BB22" i="1"/>
  <c r="X105" i="1"/>
  <c r="AK84" i="1"/>
  <c r="AE137" i="1"/>
  <c r="R159" i="1"/>
  <c r="F120" i="1"/>
  <c r="S84" i="1"/>
  <c r="F214" i="1"/>
  <c r="BD219" i="1"/>
  <c r="BD26" i="1"/>
  <c r="BA189" i="1"/>
  <c r="F72" i="1"/>
  <c r="BA30" i="1"/>
  <c r="AX84" i="1"/>
  <c r="F112" i="1"/>
  <c r="F182" i="1"/>
  <c r="V137" i="1"/>
  <c r="AX137" i="1"/>
  <c r="F166" i="1"/>
  <c r="V84" i="1"/>
  <c r="F128" i="1"/>
  <c r="F67" i="1"/>
  <c r="S30" i="1"/>
  <c r="U189" i="1"/>
  <c r="F74" i="1"/>
  <c r="U30" i="1"/>
  <c r="F70" i="1"/>
  <c r="AT30" i="1"/>
  <c r="AT189" i="1"/>
  <c r="F193" i="1"/>
  <c r="AO26" i="1"/>
  <c r="AO219" i="1"/>
  <c r="T159" i="1"/>
  <c r="AG137" i="1"/>
  <c r="T84" i="1"/>
  <c r="F126" i="1"/>
  <c r="P52" i="1"/>
  <c r="CH52" i="1"/>
  <c r="AC30" i="1"/>
  <c r="CE52" i="1"/>
  <c r="CF52" i="1"/>
  <c r="CE105" i="1"/>
  <c r="CF105" i="1"/>
  <c r="P105" i="1"/>
  <c r="AC84" i="1"/>
  <c r="CH105" i="1"/>
  <c r="AL84" i="1"/>
  <c r="Y105" i="1"/>
  <c r="F169" i="1"/>
  <c r="AQ137" i="1"/>
  <c r="F55" i="1" l="1"/>
  <c r="P30" i="1"/>
  <c r="Y159" i="1"/>
  <c r="AL137" i="1"/>
  <c r="AZ137" i="1"/>
  <c r="F170" i="1"/>
  <c r="O159" i="1"/>
  <c r="AB137" i="1"/>
  <c r="T137" i="1"/>
  <c r="F180" i="1"/>
  <c r="F206" i="1"/>
  <c r="AS219" i="1"/>
  <c r="AS26" i="1"/>
  <c r="F223" i="1"/>
  <c r="AO251" i="1"/>
  <c r="AO22" i="1"/>
  <c r="BA26" i="1"/>
  <c r="BA219" i="1"/>
  <c r="F209" i="1"/>
  <c r="CD30" i="1"/>
  <c r="AU52" i="1"/>
  <c r="BA137" i="1"/>
  <c r="F179" i="1"/>
  <c r="AZ189" i="1"/>
  <c r="F63" i="1"/>
  <c r="AZ30" i="1"/>
  <c r="AR52" i="1"/>
  <c r="CA30" i="1"/>
  <c r="F244" i="1"/>
  <c r="BD251" i="1"/>
  <c r="BD22" i="1"/>
  <c r="AX189" i="1"/>
  <c r="F59" i="1"/>
  <c r="AX30" i="1"/>
  <c r="AT219" i="1"/>
  <c r="AT26" i="1"/>
  <c r="F207" i="1"/>
  <c r="S159" i="1"/>
  <c r="AF137" i="1"/>
  <c r="F54" i="1"/>
  <c r="O30" i="1"/>
  <c r="O189" i="1"/>
  <c r="F132" i="1"/>
  <c r="Y84" i="1"/>
  <c r="R137" i="1"/>
  <c r="F173" i="1"/>
  <c r="R30" i="1"/>
  <c r="F66" i="1"/>
  <c r="R189" i="1"/>
  <c r="AQ26" i="1"/>
  <c r="F199" i="1"/>
  <c r="AQ219" i="1"/>
  <c r="F119" i="1"/>
  <c r="R84" i="1"/>
  <c r="AY105" i="1"/>
  <c r="CH84" i="1"/>
  <c r="U26" i="1"/>
  <c r="F211" i="1"/>
  <c r="U219" i="1"/>
  <c r="F131" i="1"/>
  <c r="X84" i="1"/>
  <c r="Q26" i="1"/>
  <c r="Q219" i="1"/>
  <c r="F201" i="1"/>
  <c r="X159" i="1"/>
  <c r="AK137" i="1"/>
  <c r="F108" i="1"/>
  <c r="P84" i="1"/>
  <c r="CF84" i="1"/>
  <c r="AW105" i="1"/>
  <c r="F264" i="1"/>
  <c r="BB18" i="1"/>
  <c r="V26" i="1"/>
  <c r="V219" i="1"/>
  <c r="F212" i="1"/>
  <c r="AC137" i="1"/>
  <c r="CE159" i="1"/>
  <c r="CF159" i="1"/>
  <c r="P159" i="1"/>
  <c r="CH159" i="1"/>
  <c r="F183" i="1"/>
  <c r="W137" i="1"/>
  <c r="CE84" i="1"/>
  <c r="AV105" i="1"/>
  <c r="AR105" i="1"/>
  <c r="CA84" i="1"/>
  <c r="F171" i="1"/>
  <c r="Q137" i="1"/>
  <c r="CF30" i="1"/>
  <c r="AW52" i="1"/>
  <c r="AP22" i="1"/>
  <c r="AP251" i="1"/>
  <c r="F228" i="1"/>
  <c r="G16" i="2" s="1"/>
  <c r="CD84" i="1"/>
  <c r="AU105" i="1"/>
  <c r="CE30" i="1"/>
  <c r="AV52" i="1"/>
  <c r="T189" i="1"/>
  <c r="BC18" i="1"/>
  <c r="F267" i="1"/>
  <c r="F107" i="1"/>
  <c r="O84" i="1"/>
  <c r="CH30" i="1"/>
  <c r="AY52" i="1"/>
  <c r="GM154" i="1"/>
  <c r="W189" i="1"/>
  <c r="F117" i="1"/>
  <c r="Q84" i="1"/>
  <c r="X137" i="1" l="1"/>
  <c r="F185" i="1"/>
  <c r="X189" i="1"/>
  <c r="F71" i="1"/>
  <c r="AU30" i="1"/>
  <c r="O26" i="1"/>
  <c r="F191" i="1"/>
  <c r="O219" i="1"/>
  <c r="W26" i="1"/>
  <c r="W219" i="1"/>
  <c r="F213" i="1"/>
  <c r="AR84" i="1"/>
  <c r="F133" i="1"/>
  <c r="Q22" i="1"/>
  <c r="F231" i="1"/>
  <c r="Q251" i="1"/>
  <c r="GP154" i="1"/>
  <c r="CD159" i="1" s="1"/>
  <c r="CA159" i="1"/>
  <c r="F110" i="1"/>
  <c r="AV84" i="1"/>
  <c r="BA251" i="1"/>
  <c r="BA22" i="1"/>
  <c r="F239" i="1"/>
  <c r="F60" i="1"/>
  <c r="AY30" i="1"/>
  <c r="S137" i="1"/>
  <c r="F174" i="1"/>
  <c r="S189" i="1"/>
  <c r="U251" i="1"/>
  <c r="U22" i="1"/>
  <c r="F241" i="1"/>
  <c r="AO18" i="1"/>
  <c r="F255" i="1"/>
  <c r="CH137" i="1"/>
  <c r="AY159" i="1"/>
  <c r="P137" i="1"/>
  <c r="F162" i="1"/>
  <c r="AT251" i="1"/>
  <c r="AT22" i="1"/>
  <c r="F237" i="1"/>
  <c r="F16" i="2" s="1"/>
  <c r="AW159" i="1"/>
  <c r="CF137" i="1"/>
  <c r="AS22" i="1"/>
  <c r="AS251" i="1"/>
  <c r="F236" i="1"/>
  <c r="E16" i="2" s="1"/>
  <c r="CE137" i="1"/>
  <c r="AV159" i="1"/>
  <c r="F113" i="1"/>
  <c r="AY84" i="1"/>
  <c r="T219" i="1"/>
  <c r="T26" i="1"/>
  <c r="F210" i="1"/>
  <c r="AX26" i="1"/>
  <c r="F196" i="1"/>
  <c r="AX219" i="1"/>
  <c r="F57" i="1"/>
  <c r="AV189" i="1"/>
  <c r="AV30" i="1"/>
  <c r="V251" i="1"/>
  <c r="V22" i="1"/>
  <c r="F242" i="1"/>
  <c r="AQ251" i="1"/>
  <c r="AQ22" i="1"/>
  <c r="F229" i="1"/>
  <c r="BD18" i="1"/>
  <c r="F276" i="1"/>
  <c r="F124" i="1"/>
  <c r="AU84" i="1"/>
  <c r="O137" i="1"/>
  <c r="F161" i="1"/>
  <c r="R26" i="1"/>
  <c r="R219" i="1"/>
  <c r="F203" i="1"/>
  <c r="F80" i="1"/>
  <c r="AR30" i="1"/>
  <c r="AP18" i="1"/>
  <c r="F260" i="1"/>
  <c r="F111" i="1"/>
  <c r="AW84" i="1"/>
  <c r="Y137" i="1"/>
  <c r="F186" i="1"/>
  <c r="Y189" i="1"/>
  <c r="F58" i="1"/>
  <c r="AW189" i="1"/>
  <c r="AW30" i="1"/>
  <c r="AZ219" i="1"/>
  <c r="F200" i="1"/>
  <c r="AZ26" i="1"/>
  <c r="P189" i="1"/>
  <c r="F271" i="1" l="1"/>
  <c r="BA18" i="1"/>
  <c r="F195" i="1"/>
  <c r="AW219" i="1"/>
  <c r="AW26" i="1"/>
  <c r="AW137" i="1"/>
  <c r="F165" i="1"/>
  <c r="AQ18" i="1"/>
  <c r="F261" i="1"/>
  <c r="F216" i="1"/>
  <c r="Y26" i="1"/>
  <c r="Y219" i="1"/>
  <c r="AU159" i="1"/>
  <c r="CD137" i="1"/>
  <c r="F274" i="1"/>
  <c r="V18" i="1"/>
  <c r="AY137" i="1"/>
  <c r="F167" i="1"/>
  <c r="AX251" i="1"/>
  <c r="AX22" i="1"/>
  <c r="F226" i="1"/>
  <c r="F273" i="1"/>
  <c r="U18" i="1"/>
  <c r="R22" i="1"/>
  <c r="F233" i="1"/>
  <c r="R251" i="1"/>
  <c r="T251" i="1"/>
  <c r="T22" i="1"/>
  <c r="F240" i="1"/>
  <c r="AV137" i="1"/>
  <c r="F164" i="1"/>
  <c r="F192" i="1"/>
  <c r="P219" i="1"/>
  <c r="P26" i="1"/>
  <c r="AY189" i="1"/>
  <c r="F215" i="1"/>
  <c r="X26" i="1"/>
  <c r="X219" i="1"/>
  <c r="F268" i="1"/>
  <c r="AS18" i="1"/>
  <c r="CA137" i="1"/>
  <c r="AR159" i="1"/>
  <c r="F269" i="1"/>
  <c r="AT18" i="1"/>
  <c r="Q18" i="1"/>
  <c r="F263" i="1"/>
  <c r="F194" i="1"/>
  <c r="AV26" i="1"/>
  <c r="AV219" i="1"/>
  <c r="F243" i="1"/>
  <c r="W22" i="1"/>
  <c r="W251" i="1"/>
  <c r="F221" i="1"/>
  <c r="O251" i="1"/>
  <c r="O22" i="1"/>
  <c r="S26" i="1"/>
  <c r="S219" i="1"/>
  <c r="F204" i="1"/>
  <c r="AZ251" i="1"/>
  <c r="AZ22" i="1"/>
  <c r="F230" i="1"/>
  <c r="F245" i="1" l="1"/>
  <c r="X22" i="1"/>
  <c r="X251" i="1"/>
  <c r="F262" i="1"/>
  <c r="AZ18" i="1"/>
  <c r="S251" i="1"/>
  <c r="F234" i="1"/>
  <c r="J16" i="2" s="1"/>
  <c r="S22" i="1"/>
  <c r="AY219" i="1"/>
  <c r="F197" i="1"/>
  <c r="AY26" i="1"/>
  <c r="AU137" i="1"/>
  <c r="F178" i="1"/>
  <c r="AU189" i="1"/>
  <c r="O18" i="1"/>
  <c r="F253" i="1"/>
  <c r="W18" i="1"/>
  <c r="F275" i="1"/>
  <c r="AR137" i="1"/>
  <c r="F187" i="1"/>
  <c r="AR189" i="1"/>
  <c r="F258" i="1"/>
  <c r="AX18" i="1"/>
  <c r="Y251" i="1"/>
  <c r="F246" i="1"/>
  <c r="Y22" i="1"/>
  <c r="P22" i="1"/>
  <c r="P251" i="1"/>
  <c r="F222" i="1"/>
  <c r="AV22" i="1"/>
  <c r="AV251" i="1"/>
  <c r="F224" i="1"/>
  <c r="F272" i="1"/>
  <c r="T18" i="1"/>
  <c r="R18" i="1"/>
  <c r="F265" i="1"/>
  <c r="AW22" i="1"/>
  <c r="F225" i="1"/>
  <c r="AW251" i="1"/>
  <c r="AR219" i="1" l="1"/>
  <c r="AR26" i="1"/>
  <c r="F217" i="1"/>
  <c r="AW18" i="1"/>
  <c r="F257" i="1"/>
  <c r="AU26" i="1"/>
  <c r="F208" i="1"/>
  <c r="AU219" i="1"/>
  <c r="AV18" i="1"/>
  <c r="F256" i="1"/>
  <c r="AY22" i="1"/>
  <c r="AY251" i="1"/>
  <c r="F227" i="1"/>
  <c r="P18" i="1"/>
  <c r="F254" i="1"/>
  <c r="F266" i="1"/>
  <c r="S18" i="1"/>
  <c r="X18" i="1"/>
  <c r="F277" i="1"/>
  <c r="F278" i="1"/>
  <c r="Y18" i="1"/>
  <c r="AY18" i="1" l="1"/>
  <c r="F259" i="1"/>
  <c r="AU22" i="1"/>
  <c r="AU251" i="1"/>
  <c r="F238" i="1"/>
  <c r="H16" i="2" s="1"/>
  <c r="I16" i="2" s="1"/>
  <c r="N16" i="2" s="1"/>
  <c r="AR251" i="1"/>
  <c r="F247" i="1"/>
  <c r="AR22" i="1"/>
  <c r="F249" i="1" l="1"/>
  <c r="F279" i="1"/>
  <c r="F280" i="1" s="1"/>
  <c r="AR18" i="1"/>
  <c r="AU18" i="1"/>
  <c r="F270" i="1"/>
  <c r="F282" i="1" l="1"/>
</calcChain>
</file>

<file path=xl/sharedStrings.xml><?xml version="1.0" encoding="utf-8"?>
<sst xmlns="http://schemas.openxmlformats.org/spreadsheetml/2006/main" count="5209" uniqueCount="402">
  <si>
    <t>Smeta.RU Flash  (495) 974-1589</t>
  </si>
  <si>
    <t>_PS_</t>
  </si>
  <si>
    <t>Smeta.RU Flash</t>
  </si>
  <si>
    <t/>
  </si>
  <si>
    <t>Новый объект</t>
  </si>
  <si>
    <t>Зона 1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</si>
  <si>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</si>
  <si>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</si>
  <si>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</si>
  <si>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</si>
  <si>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</si>
  <si>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</si>
  <si>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</si>
  <si>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Локальная смета: Зона №1</t>
  </si>
  <si>
    <t>Новый раздел</t>
  </si>
  <si>
    <t>Раздел: Основная зона</t>
  </si>
  <si>
    <t>Новый подраздел</t>
  </si>
  <si>
    <t>1</t>
  </si>
  <si>
    <t>5.3-1102-12-1/1</t>
  </si>
  <si>
    <t>Уборка снега средствами малой механизации</t>
  </si>
  <si>
    <t>1000 м2</t>
  </si>
  <si>
    <t>СН-2012.5 Выпуск № 5 (в текущих ценах по состоянию на 01.10.2025 г.). 5.3-1102-12-1/1</t>
  </si>
  <si>
    <t>)*55</t>
  </si>
  <si>
    <t>СН-2012</t>
  </si>
  <si>
    <t>Подрядные работы, гл. 1-5,7</t>
  </si>
  <si>
    <t>работа</t>
  </si>
  <si>
    <t>2</t>
  </si>
  <si>
    <t>5.3-1102-8-1/1</t>
  </si>
  <si>
    <t>Уборка свежевыпавшего снега вручную толщиной слоя до 10 см</t>
  </si>
  <si>
    <t>100 м2</t>
  </si>
  <si>
    <t>СН-2012.5 Выпуск № 5 (в текущих ценах по состоянию на 01.10.2025 г.). 5.3-1102-8-1/1</t>
  </si>
  <si>
    <t>3</t>
  </si>
  <si>
    <t>5.3-1101-15-1/1</t>
  </si>
  <si>
    <t>Подметание тротуаров, придомовых и внутрибольничных проездов средствами малой механизации</t>
  </si>
  <si>
    <t>СН-2012.5 Выпуск № 5 (в текущих ценах по состоянию на 01.10.2025 г.). 5.3-1101-15-1/1</t>
  </si>
  <si>
    <t>)*111</t>
  </si>
  <si>
    <t>3,1</t>
  </si>
  <si>
    <t>21.1-25-13</t>
  </si>
  <si>
    <t>Вода</t>
  </si>
  <si>
    <t>м3</t>
  </si>
  <si>
    <t>СН-2012.21 Выпуск № 5 (в текущих ценах по состоянию на 01.10.2025 г.). 21.1-25-13</t>
  </si>
  <si>
    <t>4</t>
  </si>
  <si>
    <t>5.3-1101-13-1/1</t>
  </si>
  <si>
    <t>Подметание вручную дорожек и площадок с твердым покрытием</t>
  </si>
  <si>
    <t>СН-2012.5 Выпуск № 5 (в текущих ценах по состоянию на 01.10.2025 г.). 5.3-1101-13-1/1</t>
  </si>
  <si>
    <t>)*11</t>
  </si>
  <si>
    <t>5</t>
  </si>
  <si>
    <t>5.3-1101-13-2/1</t>
  </si>
  <si>
    <t>Подметание вручную дорожек и площадок с грунтовым и щебеночным покрытием</t>
  </si>
  <si>
    <t>СН-2012.5 Выпуск № 5 (в текущих ценах по состоянию на 01.10.2025 г.). 5.3-1101-13-2/1</t>
  </si>
  <si>
    <t>6</t>
  </si>
  <si>
    <t>5.3-1102-21-1/1</t>
  </si>
  <si>
    <t>Уборка детских и спортивных площадок с резиновым покрытием от снега - свежевыпавшего толщиной до 5 см</t>
  </si>
  <si>
    <t>СН-2012.5 Выпуск № 5 (в текущих ценах по состоянию на 01.10.2025 г.). 5.3-1102-21-1/1</t>
  </si>
  <si>
    <t>7</t>
  </si>
  <si>
    <t>5.3-1102-23-1/1</t>
  </si>
  <si>
    <t>Уборка от снега деревянного настила - амфитеатра, тротуаров, лестниц, экотроп</t>
  </si>
  <si>
    <t>100 м2 горизонтальной проекции</t>
  </si>
  <si>
    <t>СН-2012.5 Выпуск № 5 (в текущих ценах по состоянию на 01.10.2025 г.). 5.3-1102-23-1/1</t>
  </si>
  <si>
    <t>8</t>
  </si>
  <si>
    <t>5.3-1102-10-3/1</t>
  </si>
  <si>
    <t>Посыпка противогололедными реагентами ХКНтв дорожных покрытий вручную</t>
  </si>
  <si>
    <t>СН-2012.5 Выпуск № 5 (в текущих ценах по состоянию на 01.10.2025 г.). 5.3-1102-10-3/1</t>
  </si>
  <si>
    <t>)*50</t>
  </si>
  <si>
    <t>9</t>
  </si>
  <si>
    <t>5.3-1102-13-3/1</t>
  </si>
  <si>
    <t>Посыпка противогололедными реагентами дорожных покрытий средствами малой механизации</t>
  </si>
  <si>
    <t>СН-2012.5 Выпуск № 5 (в текущих ценах по состоянию на 01.10.2025 г.). 5.3-1102-13-3/1</t>
  </si>
  <si>
    <t>10</t>
  </si>
  <si>
    <t>5.3-1102-9-1/1</t>
  </si>
  <si>
    <t>Колка льда на обледеневших покрытиях вручную</t>
  </si>
  <si>
    <t>СН-2012.5 Выпуск № 5 (в текущих ценах по состоянию на 01.10.2025 г.). 5.3-1102-9-1/1</t>
  </si>
  <si>
    <t>)*20</t>
  </si>
  <si>
    <t>11</t>
  </si>
  <si>
    <t>5.3-1102-25-1/1</t>
  </si>
  <si>
    <t>Сбор и перемещение снега и скола к месту временного размещения механизированным способом, объем ковша погрузчика до 0,5 м3 - перемещение на 250 м</t>
  </si>
  <si>
    <t>СН-2012.5 Выпуск № 5 (в текущих ценах по состоянию на 01.10.2025 г.). 5.3-1102-25-1/1</t>
  </si>
  <si>
    <t>12</t>
  </si>
  <si>
    <t>5.3-1102-14-1/1</t>
  </si>
  <si>
    <t>Погрузка снега средствами малой механизации</t>
  </si>
  <si>
    <t>СН-2012.5 Выпуск № 5 (в текущих ценах по состоянию на 01.10.2025 г.). 5.3-1102-14-1/1</t>
  </si>
  <si>
    <t>13</t>
  </si>
  <si>
    <t>5.3-1102-4-1/1</t>
  </si>
  <si>
    <t>Очистка скамеек, садовых диванов, урн, цветочниц, боллардов от снега вручную</t>
  </si>
  <si>
    <t>СН-2012.5 Выпуск № 5 (в текущих ценах по состоянию на 01.10.2025 г.). 5.3-1102-4-1/1</t>
  </si>
  <si>
    <t>14</t>
  </si>
  <si>
    <t>5.3-1101-12-1/1</t>
  </si>
  <si>
    <t>Уход за урнами на придомовых и внутрибольничных территориях, очистка урн опрокидывающихся от мусора</t>
  </si>
  <si>
    <t>100 шт.</t>
  </si>
  <si>
    <t>СН-2012.5 Выпуск № 5 (в текущих ценах по состоянию на 01.10.2025 г.). 5.3-1101-12-1/1</t>
  </si>
  <si>
    <t>)*161</t>
  </si>
  <si>
    <t>15</t>
  </si>
  <si>
    <t>5.3-1101-12-3/1</t>
  </si>
  <si>
    <t>Уход за урнами на придомовых и внутрибольничных территориях, промывка урн опрокидывающихся</t>
  </si>
  <si>
    <t>СН-2012.5 Выпуск № 5 (в текущих ценах по состоянию на 01.10.2025 г.). 5.3-1101-12-3/1</t>
  </si>
  <si>
    <t>)*5</t>
  </si>
  <si>
    <t>15,1</t>
  </si>
  <si>
    <t>16</t>
  </si>
  <si>
    <t>5.4-1202-1-1/1</t>
  </si>
  <si>
    <t>Рыхление смерзшегося снега по краю газона</t>
  </si>
  <si>
    <t>СН-2012.5 Выпуск № 5 (в текущих ценах по состоянию на 01.10.2025 г.). 5.4-1202-1-1/1</t>
  </si>
  <si>
    <t>17</t>
  </si>
  <si>
    <t>5.3-1102-7-1/1</t>
  </si>
  <si>
    <t>Очистка от снега и мусора контейнерной площадки вручную</t>
  </si>
  <si>
    <t>СН-2012.5 Выпуск № 5 (в текущих ценах по состоянию на 01.10.2025 г.). 5.3-1102-7-1/1</t>
  </si>
  <si>
    <t>)*166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</si>
  <si>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</si>
  <si>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</si>
  <si>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</si>
  <si>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</si>
  <si>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</si>
  <si>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</si>
  <si>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</si>
  <si>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</si>
  <si>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</si>
  <si>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</si>
  <si>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</si>
  <si>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</si>
  <si>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</si>
  <si>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</si>
  <si>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</si>
  <si>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</si>
  <si>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</si>
  <si>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</si>
  <si>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</si>
  <si>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</si>
  <si>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</si>
  <si>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</si>
  <si>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</si>
  <si>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</si>
  <si>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</si>
  <si>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</si>
  <si>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</si>
  <si>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</si>
  <si>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</si>
  <si>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</si>
  <si>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</si>
  <si>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</si>
  <si>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</si>
  <si>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</si>
  <si>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</si>
  <si>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</si>
  <si>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</si>
  <si>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</si>
  <si>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</si>
  <si>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</si>
  <si>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</si>
  <si>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</si>
  <si>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</si>
  <si>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</si>
  <si>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</si>
  <si>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</si>
  <si>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</si>
  <si>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</si>
  <si>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</si>
  <si>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</si>
  <si>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</si>
  <si>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</si>
  <si>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</si>
  <si>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</si>
  <si>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18</t>
  </si>
  <si>
    <t>)*171</t>
  </si>
  <si>
    <t>18,1</t>
  </si>
  <si>
    <t>19</t>
  </si>
  <si>
    <t>20</t>
  </si>
  <si>
    <t>5.3-1101-19-1/1</t>
  </si>
  <si>
    <t>Уборка полиуретанового покрытия игровых площадок, спортивных дорожек и площадок вручную</t>
  </si>
  <si>
    <t>СН-2012.5 Выпуск № 5 (в текущих ценах по состоянию на 01.10.2025 г.). 5.3-1101-19-1/1</t>
  </si>
  <si>
    <t>21</t>
  </si>
  <si>
    <t>5.3-1101-15-4/1</t>
  </si>
  <si>
    <t>Полив тротуаров, придомовых и внутрибольничных проездов средствами малой механизации</t>
  </si>
  <si>
    <t>СН-2012.5 Выпуск № 5 (в текущих ценах по состоянию на 01.10.2025 г.). 5.3-1101-15-4/1</t>
  </si>
  <si>
    <t>)*19</t>
  </si>
  <si>
    <t>21,1</t>
  </si>
  <si>
    <t>5.3-1101-15-5/1</t>
  </si>
  <si>
    <t>Мытье тротуаров, придомовых и внутрибольничных проездов средствами малой механизации</t>
  </si>
  <si>
    <t>СН-2012.5 Выпуск № 5 (в текущих ценах по состоянию на 01.10.2025 г.). 5.3-1101-15-5/1</t>
  </si>
  <si>
    <t>22</t>
  </si>
  <si>
    <t>5.3-1101-10-1/1</t>
  </si>
  <si>
    <t>Протирка садовых диванов и скамеек</t>
  </si>
  <si>
    <t>СН-2012.5 Выпуск № 5 (в текущих ценах по состоянию на 01.10.2025 г.). 5.3-1101-10-1/1</t>
  </si>
  <si>
    <t>)*28</t>
  </si>
  <si>
    <t>22,1</t>
  </si>
  <si>
    <t>5.3-1101-9-1/1</t>
  </si>
  <si>
    <t>Мытье садовых диванов и скамеек</t>
  </si>
  <si>
    <t>СН-2012.5 Выпуск № 5 (в текущих ценах по состоянию на 01.10.2025 г.). 5.3-1101-9-1/1</t>
  </si>
  <si>
    <t>23</t>
  </si>
  <si>
    <t>)*186</t>
  </si>
  <si>
    <t>24</t>
  </si>
  <si>
    <t>)*13</t>
  </si>
  <si>
    <t>24,1</t>
  </si>
  <si>
    <t>25</t>
  </si>
  <si>
    <t>5.3-1101-11-1/1</t>
  </si>
  <si>
    <t>Подметание контейнерной площадки с уборкой мусора</t>
  </si>
  <si>
    <t>10 м2</t>
  </si>
  <si>
    <t>СН-2012.5 Выпуск № 5 (в текущих ценах по состоянию на 01.10.2025 г.). 5.3-1101-11-1/1</t>
  </si>
  <si>
    <t>)*199</t>
  </si>
  <si>
    <t>26</t>
  </si>
  <si>
    <t>5.3-1101-4-2/1</t>
  </si>
  <si>
    <t>Промывка оград металлических простого рисунка от пыли и грязи водой под напором</t>
  </si>
  <si>
    <t>СН-2012.5 Выпуск № 5 (в текущих ценах по состоянию на 01.10.2025 г.). 5.3-1101-4-2/1</t>
  </si>
  <si>
    <t>27</t>
  </si>
  <si>
    <t>5.4-1201-3-2/1</t>
  </si>
  <si>
    <t>Уборка газонов от опавших листьев и мусора пневмомашиной</t>
  </si>
  <si>
    <t>СН-2012.5 Выпуск № 5 (в текущих ценах по состоянию на 01.10.2025 г.). 5.4-1201-3-2/1</t>
  </si>
  <si>
    <t>28</t>
  </si>
  <si>
    <t>5.4-1201-3-1/1</t>
  </si>
  <si>
    <t>Уборка газонов от опавших листьев и мусора вручную</t>
  </si>
  <si>
    <t>СН-2012.5 Выпуск № 5 (в текущих ценах по состоянию на 01.10.2025 г.). 5.4-1201-3-1/1</t>
  </si>
  <si>
    <t>29</t>
  </si>
  <si>
    <t>5.4-1201-3-3/1</t>
  </si>
  <si>
    <t>Уборка опавшей листвы в мешки с погрузкой (71 456, 00*0,005)</t>
  </si>
  <si>
    <t>СН-2012.5 Выпуск № 5 (в текущих ценах по состоянию на 01.10.2025 г.). 5.4-1201-3-3/1</t>
  </si>
  <si>
    <t>30</t>
  </si>
  <si>
    <t>5.4-1201-1-1/1</t>
  </si>
  <si>
    <t>Сбор случайного мусора по территории</t>
  </si>
  <si>
    <t>СН-2012.5 Выпуск № 5 (в текущих ценах по состоянию на 01.10.2025 г.). 5.4-1201-1-1/1</t>
  </si>
  <si>
    <t>31</t>
  </si>
  <si>
    <t>5.4-3201-7-2/1</t>
  </si>
  <si>
    <t>Выкашивание газонов газонокосилкой</t>
  </si>
  <si>
    <t>СН-2012.5 Выпуск № 5 (в текущих ценах по состоянию на 01.10.2025 г.). 5.4-3201-7-2/1</t>
  </si>
  <si>
    <t>)*14</t>
  </si>
  <si>
    <t>32</t>
  </si>
  <si>
    <t>5.4-3405-7-1/1</t>
  </si>
  <si>
    <t>Полив зеленых насаждений из шланга поливомоечной  (5 л на 1 м2) (80% от площади скашивания)</t>
  </si>
  <si>
    <t>СН-2012.5 Выпуск № 5 (в текущих ценах по состоянию на 01.10.2025 г.). 5.4-3405-7-1/1</t>
  </si>
  <si>
    <t>32,1</t>
  </si>
  <si>
    <t>33</t>
  </si>
  <si>
    <t>5.4-3405-22-1/1</t>
  </si>
  <si>
    <t>Внесение минеральных удобрений - равномерное внесение в почву сухих минеральных удобрений (без стоимости материалов) (50%)</t>
  </si>
  <si>
    <t>СН-2012.5 Выпуск № 5 (в текущих ценах по состоянию на 01.10.2025 г.). 5.4-3405-22-1/1</t>
  </si>
  <si>
    <t>33,1</t>
  </si>
  <si>
    <t>21.4-4-17</t>
  </si>
  <si>
    <t>Удобрения комплексные минеральные для газонов</t>
  </si>
  <si>
    <t>кг</t>
  </si>
  <si>
    <t>СН-2012.21 Выпуск № 5 (в текущих ценах по состоянию на 01.10.2025 г.). 21.4-4-17</t>
  </si>
  <si>
    <t>34</t>
  </si>
  <si>
    <t>5.4-3405-30-1/1</t>
  </si>
  <si>
    <t>Формовочная обрезка, стрижка кустарников - диаметр до 1 м</t>
  </si>
  <si>
    <t>10 шт.</t>
  </si>
  <si>
    <t>СН-2012.5 Выпуск № 5 (в текущих ценах по состоянию на 01.10.2025 г.). 5.4-3405-30-1/1</t>
  </si>
  <si>
    <t>)*6</t>
  </si>
  <si>
    <t>35</t>
  </si>
  <si>
    <t>Полив зеленых насаждений из шланга поливомоечной машины (5 л на 1 м2)</t>
  </si>
  <si>
    <t>35,1</t>
  </si>
  <si>
    <t>36</t>
  </si>
  <si>
    <t>5.4-3405-12-2/1</t>
  </si>
  <si>
    <t>Прополка цветников с применением полотиков</t>
  </si>
  <si>
    <t>СН-2012.5 Выпуск № 5 (в текущих ценах по состоянию на 01.10.2025 г.). 5.4-3405-12-2/1</t>
  </si>
  <si>
    <t>)*4</t>
  </si>
  <si>
    <t>37</t>
  </si>
  <si>
    <t>5.4-3405-19-1/1</t>
  </si>
  <si>
    <t>Обрезка стеблей отцветших цветочных растений и относ их за пределы цветника</t>
  </si>
  <si>
    <t>СН-2012.5 Выпуск № 5 (в текущих ценах по состоянию на 01.10.2025 г.). 5.4-3405-19-1/1</t>
  </si>
  <si>
    <t>)*3</t>
  </si>
  <si>
    <t>38</t>
  </si>
  <si>
    <t>5.4-3405-24-1/1</t>
  </si>
  <si>
    <t>Опрыскивание растений из ранцевого опрыскивателя комплексным органическим жидким многофункциональным удобрением на основе вермикомпоста (без стоимости удобрения)</t>
  </si>
  <si>
    <t>СН-2012.5 Выпуск № 5 (в текущих ценах по состоянию на 01.10.2025 г.). 5.4-3405-24-1/1</t>
  </si>
  <si>
    <t>)*2</t>
  </si>
  <si>
    <t>38,1</t>
  </si>
  <si>
    <t>21.4-4-31</t>
  </si>
  <si>
    <t>Удобрение - биостимулятор, органическое жидкое, антистрессовое, для некорневой подкормки, типа Текамин Макс (N 7%)</t>
  </si>
  <si>
    <t>л</t>
  </si>
  <si>
    <t>СН-2012.21 Выпуск № 5 (в текущих ценах по состоянию на 01.10.2025 г.). 21.4-4-31</t>
  </si>
  <si>
    <t>39</t>
  </si>
  <si>
    <t>5.4-3101-1-1/1</t>
  </si>
  <si>
    <t>Формовочная обрезка деревьев высотой до 5 м</t>
  </si>
  <si>
    <t>дерево</t>
  </si>
  <si>
    <t>СН-2012.5 Выпуск № 5 (в текущих ценах по состоянию на 01.10.2025 г.). 5.4-3101-1-1/1</t>
  </si>
  <si>
    <t>40</t>
  </si>
  <si>
    <t>Полив зеленых насаждений из шланга поливомоечной машины (40 л на 1 м2)</t>
  </si>
  <si>
    <t>40,1</t>
  </si>
  <si>
    <t>НДС 20%</t>
  </si>
  <si>
    <t>Итого с НДС</t>
  </si>
  <si>
    <t>и1</t>
  </si>
  <si>
    <t>Итого</t>
  </si>
  <si>
    <t>и2</t>
  </si>
  <si>
    <t>и3</t>
  </si>
  <si>
    <t>Уровень цен на 01.10.2025</t>
  </si>
  <si>
    <t>_OBSM_</t>
  </si>
  <si>
    <t>22.1-17-199</t>
  </si>
  <si>
    <t>СН-2012.22 Выпуск № 5 (в текущих ценах по состоянию на 01.10.2025 г.). 22.1-17-199</t>
  </si>
  <si>
    <t>Снегоочистители на базе мини-погрузчика грузоподъемностью до 1 т</t>
  </si>
  <si>
    <t>маш.-ч</t>
  </si>
  <si>
    <t>9999990008</t>
  </si>
  <si>
    <t>Трудозатраты рабочих</t>
  </si>
  <si>
    <t>чел.-ч.</t>
  </si>
  <si>
    <t>22.1-17-200</t>
  </si>
  <si>
    <t>СН-2012.22 Выпуск № 5 (в текущих ценах по состоянию на 01.10.2025 г.). 22.1-17-200</t>
  </si>
  <si>
    <t>Подметально-уборочные машины на базе мини-погрузчика грузоподъемностью до 1 т</t>
  </si>
  <si>
    <t>21.1-25-991</t>
  </si>
  <si>
    <t>СН-2012.21 Выпуск № 5 (в текущих ценах по состоянию на 01.10.2025 г.). 21.1-25-991</t>
  </si>
  <si>
    <t>Композиция (твердый многокомпонентный реагент противогололедный) на основе хлорида кальция и хлорида натрия (ХКНтв.), эффективность до -25°C</t>
  </si>
  <si>
    <t>22.1-17-198</t>
  </si>
  <si>
    <t>СН-2012.22 Выпуск № 5 (в текущих ценах по состоянию на 01.10.2025 г.). 22.1-17-198</t>
  </si>
  <si>
    <t>Разбрасыватели противогололедных материалов на базе мини-погрузчика грузоподъемностью до 1 т</t>
  </si>
  <si>
    <t>22.1-4-91</t>
  </si>
  <si>
    <t>СН-2012.22 Выпуск № 5 (в текущих ценах по состоянию на 01.10.2025 г.). 22.1-4-91</t>
  </si>
  <si>
    <t>Мини-погрузчики многофункциональные, грузоподъемность до 1 т</t>
  </si>
  <si>
    <t>21.1-25-636</t>
  </si>
  <si>
    <t>СН-2012.21 Выпуск № 5 (в текущих ценах по состоянию на 01.10.2025 г.). 21.1-25-636</t>
  </si>
  <si>
    <t>Пакеты ПНД для мусора, объем пакета 60 л</t>
  </si>
  <si>
    <t>шт.</t>
  </si>
  <si>
    <t>21.1-24-30</t>
  </si>
  <si>
    <t>СН-2012.21 Выпуск № 5 (в текущих ценах по состоянию на 01.10.2025 г.). 21.1-24-30</t>
  </si>
  <si>
    <t>Средство дезинфицирующее концентрированное антимикробное, высокоэффективное, типа "Сепотосан-Т"</t>
  </si>
  <si>
    <t>21.1-24-31</t>
  </si>
  <si>
    <t>СН-2012.21 Выпуск № 5 (в текущих ценах по состоянию на 01.10.2025 г.). 21.1-24-31</t>
  </si>
  <si>
    <t>Средство моющее концентрированное для очистки от комплексных и атмосферных загрязнений, нефтепродуктов, экологически безопасное, биоразлагаемое, типа "Транс-пол"</t>
  </si>
  <si>
    <t>21.1-24-14</t>
  </si>
  <si>
    <t>СН-2012.21 Выпуск № 5 (в текущих ценах по состоянию на 01.10.2025 г.). 21.1-24-14</t>
  </si>
  <si>
    <t>Средство моющее</t>
  </si>
  <si>
    <t>22.1-11-72</t>
  </si>
  <si>
    <t>СН-2012.22 Выпуск № 5 (в текущих ценах по состоянию на 01.10.2025 г.). 22.1-11-72</t>
  </si>
  <si>
    <t>Насосы высокого давления типа "Керхер"</t>
  </si>
  <si>
    <t>22.1-17-202</t>
  </si>
  <si>
    <t>СН-2012.22 Выпуск № 5 (в текущих ценах по состоянию на 01.10.2025 г.). 22.1-17-202</t>
  </si>
  <si>
    <t>Тракторы пневмоколесные с цистерной для воды, вместимость до 3,5 м3</t>
  </si>
  <si>
    <t>22.1-17-201</t>
  </si>
  <si>
    <t>СН-2012.22 Выпуск № 5 (в текущих ценах по состоянию на 01.10.2025 г.). 22.1-17-201</t>
  </si>
  <si>
    <t>Пылесосы (воздуходувки) садовые, объем подачи воздуха до 800 м3/ч</t>
  </si>
  <si>
    <t>22.1-18-7</t>
  </si>
  <si>
    <t>СН-2012.22 Выпуск № 5 (в текущих ценах по состоянию на 01.10.2025 г.). 22.1-18-7</t>
  </si>
  <si>
    <t>Автомобили грузовые бортовые, грузоподъемность до 5 т</t>
  </si>
  <si>
    <t>21.1-25-637</t>
  </si>
  <si>
    <t>СН-2012.21 Выпуск № 5 (в текущих ценах по состоянию на 01.10.2025 г.). 21.1-25-637</t>
  </si>
  <si>
    <t>Пакеты ПНД для мусора, объем пакета 120 л</t>
  </si>
  <si>
    <t>22.1-17-36</t>
  </si>
  <si>
    <t>СН-2012.22 Выпуск № 5 (в текущих ценах по состоянию на 01.10.2025 г.). 22.1-17-36</t>
  </si>
  <si>
    <t>Косилки моторные</t>
  </si>
  <si>
    <t>22.1-5-18</t>
  </si>
  <si>
    <t>СН-2012.22 Выпуск № 5 (в текущих ценах по состоянию на 01.10.2025 г.). 22.1-5-18</t>
  </si>
  <si>
    <t>Поливомоечные машины, емкость цистерны более 5000 л</t>
  </si>
  <si>
    <t>22.1-17-230</t>
  </si>
  <si>
    <t>СН-2012.22 Выпуск № 5 (в текущих ценах по состоянию на 01.10.2025 г.). 22.1-17-230</t>
  </si>
  <si>
    <t>Опрыскиватели бензиновые ранцевые, емкость 14 л, производительность до 2,64 л/мин, мощность 2,9 кВт</t>
  </si>
  <si>
    <t>2189010000</t>
  </si>
  <si>
    <t>Удобрения минеральные сухие</t>
  </si>
  <si>
    <t>2189013000</t>
  </si>
  <si>
    <t>Удобрение комплексное органическое жидкое на основе вермикомпоста</t>
  </si>
  <si>
    <t>"СОГЛАСОВАНО"</t>
  </si>
  <si>
    <t>"УТВЕРЖДАЮ"</t>
  </si>
  <si>
    <t>Форма № 1а (глава 1-5)</t>
  </si>
  <si>
    <t>"_____"________________ 2025 г.</t>
  </si>
  <si>
    <t>(наименование объекта)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</si>
  <si>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</si>
  <si>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</si>
  <si>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</si>
  <si>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</si>
  <si>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</si>
  <si>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</si>
  <si>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</si>
  <si>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</si>
  <si>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</si>
  <si>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</si>
  <si>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стоимостного норматива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</si>
  <si>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</si>
  <si>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</si>
  <si>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</si>
  <si>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</si>
  <si>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</si>
  <si>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</si>
  <si>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</si>
  <si>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</si>
  <si>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</si>
  <si>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 xml:space="preserve">ЗТР, всего чел.-час
</t>
  </si>
  <si>
    <t xml:space="preserve">Ст-ть ед. с начислен.
</t>
  </si>
  <si>
    <t>Составлен(а) в уровне текущих (прогнозных) цен на IV квартал 2025 года</t>
  </si>
  <si>
    <t>ЭМ</t>
  </si>
  <si>
    <t>в т.ч. ЗПМ</t>
  </si>
  <si>
    <t>НР и НП от ЗПМ</t>
  </si>
  <si>
    <t>%</t>
  </si>
  <si>
    <t>ЗП</t>
  </si>
  <si>
    <t>НР от ЗП</t>
  </si>
  <si>
    <t>НП от ЗП</t>
  </si>
  <si>
    <t>ЗТР</t>
  </si>
  <si>
    <t>чел-ч</t>
  </si>
  <si>
    <t>МР</t>
  </si>
  <si>
    <t>к нр )*111</t>
  </si>
  <si>
    <t>к нр )*5</t>
  </si>
  <si>
    <t>к нр )*171</t>
  </si>
  <si>
    <t>к нр )*19</t>
  </si>
  <si>
    <t>к нр )*28</t>
  </si>
  <si>
    <t>к нр )*13</t>
  </si>
  <si>
    <t>к нр )*14</t>
  </si>
  <si>
    <t>к нр )*2</t>
  </si>
  <si>
    <t xml:space="preserve">Составил   </t>
  </si>
  <si>
    <t>[должность,подпись(инициалы,фамилия)]</t>
  </si>
  <si>
    <t xml:space="preserve">Проверил   </t>
  </si>
  <si>
    <t>___________________________</t>
  </si>
  <si>
    <t>" ___ " ___________ 20 ___ г.</t>
  </si>
  <si>
    <t>№ п/п</t>
  </si>
  <si>
    <t>№ в ЛСР</t>
  </si>
  <si>
    <t>Количество</t>
  </si>
  <si>
    <t>Примечание</t>
  </si>
  <si>
    <t>Главный инженер проекта _________________</t>
  </si>
  <si>
    <t>Составил _________________</t>
  </si>
  <si>
    <t xml:space="preserve">Подраздел: ЗИМНЯЯ УБОРКА </t>
  </si>
  <si>
    <t xml:space="preserve">Подраздел: ЛЕТНЯЯ УБОРКА </t>
  </si>
  <si>
    <t>Подраздел: УХОД ЗА ЗЕЛЕНЫМИ НАСАЖДЕНИЯМИ</t>
  </si>
  <si>
    <t>НДС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</si>
</sst>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6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164" fontId="9" fillId="0" borderId="0" xfId="0" applyNumberFormat="1" applyFont="1"/>
    <xf numFmtId="1" fontId="9" fillId="0" borderId="0" xfId="0" applyNumberFormat="1" applyFont="1"/>
    <xf numFmtId="0" fontId="14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165" fontId="9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5" fontId="0" fillId="0" borderId="0" xfId="0" applyNumberFormat="1"/>
    <xf numFmtId="0" fontId="15" fillId="0" borderId="0" xfId="0" applyFont="1" applyAlignment="1">
      <alignment horizontal="right"/>
    </xf>
    <xf numFmtId="0" fontId="0" fillId="0" borderId="6" xfId="0" applyBorder="1"/>
    <xf numFmtId="165" fontId="15" fillId="0" borderId="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 wrapText="1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7" fillId="0" borderId="0" xfId="0" applyFont="1" applyAlignment="1">
      <alignment vertical="top" wrapText="1"/>
    </xf>
    <xf numFmtId="0" fontId="9" fillId="0" borderId="1" xfId="0" applyFont="1" applyBorder="1"/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165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" wrapText="1"/>
    </xf>
    <xf numFmtId="0" fontId="0" fillId="0" borderId="0" xfId="0"/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165" fontId="15" fillId="0" borderId="6" xfId="0" applyNumberFormat="1" applyFont="1" applyBorder="1" applyAlignment="1">
      <alignment horizontal="right"/>
    </xf>
    <xf numFmtId="165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 wrapText="1"/>
    </xf>
    <xf numFmtId="0" fontId="9" fillId="0" borderId="0" xfId="0" applyFont="1" applyAlignment="1">
      <alignment horizontal="right" vertical="center"/>
    </xf>
    <xf numFmtId="0" fontId="10" fillId="0" borderId="3" xfId="0" applyFont="1" applyBorder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01730-E10A-419E-A070-F4831449F19D}">
  <sheetPr>
    <pageSetUpPr fitToPage="1"/>
  </sheetPr>
  <dimension ref="A1:AF374"/>
  <sheetViews>
    <sheetView tabSelected="1" topLeftCell="A340" zoomScaleNormal="100" workbookViewId="0">
      <selection activeCell="I365" sqref="I365:J365"/>
    </sheetView>
  </sheetViews>
  <sheetFormatPr defaultRowHeight="12.5" x14ac:dyDescent="0.25"/>
  <cols>
    <col min="1" max="1" width="5.6328125" customWidth="1"/>
    <col min="2" max="2" width="11.6328125" customWidth="1"/>
    <col min="3" max="3" width="40.6328125" customWidth="1"/>
    <col min="4" max="6" width="11.6328125" customWidth="1"/>
    <col min="7" max="9" width="12.6328125" customWidth="1"/>
    <col min="10" max="10" width="19.7265625" bestFit="1" customWidth="1"/>
    <col min="11" max="11" width="12.6328125" customWidth="1"/>
    <col min="15" max="31" width="0" hidden="1" customWidth="1"/>
    <col min="32" max="32" width="116.6328125" hidden="1" customWidth="1"/>
    <col min="33" max="36" width="0" hidden="1" customWidth="1"/>
  </cols>
  <sheetData>
    <row r="1" spans="1:11" x14ac:dyDescent="0.25">
      <c r="A1" s="7" t="str">
        <f>CONCATENATE(Source!B1, "     СН-2012 (© ГБУ «Аналитический центр», ", "2025", ")")</f>
        <v>Smeta.RU Flash  (495) 974-1589     СН-2012 (© ГБУ «Аналитический центр», 2025)</v>
      </c>
    </row>
    <row r="2" spans="1:11" ht="14" x14ac:dyDescent="0.3">
      <c r="A2" s="8"/>
      <c r="B2" s="8"/>
      <c r="C2" s="8"/>
      <c r="D2" s="8"/>
      <c r="E2" s="8"/>
      <c r="F2" s="8"/>
      <c r="G2" s="8"/>
      <c r="H2" s="8"/>
      <c r="I2" s="8"/>
      <c r="J2" s="39" t="s">
        <v>343</v>
      </c>
      <c r="K2" s="39"/>
    </row>
    <row r="3" spans="1:11" ht="16.5" x14ac:dyDescent="0.35">
      <c r="A3" s="10"/>
      <c r="B3" s="44" t="s">
        <v>341</v>
      </c>
      <c r="C3" s="44"/>
      <c r="D3" s="44"/>
      <c r="E3" s="44"/>
      <c r="F3" s="9"/>
      <c r="G3" s="44" t="s">
        <v>342</v>
      </c>
      <c r="H3" s="44"/>
      <c r="I3" s="44"/>
      <c r="J3" s="44"/>
      <c r="K3" s="44"/>
    </row>
    <row r="4" spans="1:11" ht="14" x14ac:dyDescent="0.3">
      <c r="A4" s="9"/>
      <c r="B4" s="45"/>
      <c r="C4" s="45"/>
      <c r="D4" s="45"/>
      <c r="E4" s="45"/>
      <c r="F4" s="9"/>
      <c r="G4" s="45"/>
      <c r="H4" s="45"/>
      <c r="I4" s="45"/>
      <c r="J4" s="45"/>
      <c r="K4" s="45"/>
    </row>
    <row r="5" spans="1:11" ht="14" x14ac:dyDescent="0.3">
      <c r="A5" s="9"/>
      <c r="B5" s="9"/>
      <c r="C5" s="11"/>
      <c r="D5" s="11"/>
      <c r="E5" s="11"/>
      <c r="F5" s="9"/>
      <c r="G5" s="11"/>
      <c r="H5" s="11"/>
      <c r="I5" s="11"/>
      <c r="J5" s="11"/>
      <c r="K5" s="11"/>
    </row>
    <row r="6" spans="1:11" ht="14" x14ac:dyDescent="0.3">
      <c r="A6" s="11"/>
      <c r="B6" s="45" t="str">
        <f>CONCATENATE("______________________ ", IF(Source!AL12&lt;&gt;"", Source!AL12, ""))</f>
        <v xml:space="preserve">______________________ </v>
      </c>
      <c r="C6" s="45"/>
      <c r="D6" s="45"/>
      <c r="E6" s="45"/>
      <c r="F6" s="9"/>
      <c r="G6" s="45" t="str">
        <f>CONCATENATE("______________________ ", IF(Source!AH12&lt;&gt;"", Source!AH12, ""))</f>
        <v xml:space="preserve">______________________ </v>
      </c>
      <c r="H6" s="45"/>
      <c r="I6" s="45"/>
      <c r="J6" s="45"/>
      <c r="K6" s="45"/>
    </row>
    <row r="7" spans="1:11" ht="14" x14ac:dyDescent="0.3">
      <c r="A7" s="12"/>
      <c r="B7" s="38" t="s">
        <v>344</v>
      </c>
      <c r="C7" s="38"/>
      <c r="D7" s="38"/>
      <c r="E7" s="38"/>
      <c r="F7" s="9"/>
      <c r="G7" s="38" t="s">
        <v>344</v>
      </c>
      <c r="H7" s="38"/>
      <c r="I7" s="38"/>
      <c r="J7" s="38"/>
      <c r="K7" s="38"/>
    </row>
    <row r="9" spans="1:11" ht="14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ht="18" hidden="1" x14ac:dyDescent="0.4">
      <c r="A10" s="40" t="str">
        <f>IF(Source!G12&lt;&gt;"Новый объект", Source!G12, "")</f>
        <v>Зона 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hidden="1" x14ac:dyDescent="0.25">
      <c r="A11" s="41" t="s">
        <v>345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</row>
    <row r="12" spans="1:11" ht="14" hidden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5.5" x14ac:dyDescent="0.35">
      <c r="A13" s="42" t="str">
        <f>CONCATENATE( "ЛОКАЛЬНАЯ СМЕТА № ",IF(Source!F12&lt;&gt;"Новый объект", Source!F12, ""))</f>
        <v xml:space="preserve">ЛОКАЛЬНАЯ СМЕТА № 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11" x14ac:dyDescent="0.25">
      <c r="A14" s="47" t="s">
        <v>346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</row>
    <row r="15" spans="1:1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ht="18" x14ac:dyDescent="0.4">
      <c r="A16" s="40" t="str">
        <f>IF(Source!G12&lt;&gt;"Новый объект", Source!G12, "")</f>
        <v>Зона 1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7" t="s">
        <v>347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ht="14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1:11" ht="14" x14ac:dyDescent="0.3">
      <c r="A19" s="38" t="str">
        <f>CONCATENATE( "Основание: чертежи № ", Source!J12)</f>
        <v xml:space="preserve">Основание: чертежи № 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1" ht="14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ht="14" x14ac:dyDescent="0.3">
      <c r="A21" s="9"/>
      <c r="B21" s="9"/>
      <c r="C21" s="9"/>
      <c r="D21" s="9"/>
      <c r="E21" s="9"/>
      <c r="F21" s="45" t="s">
        <v>348</v>
      </c>
      <c r="G21" s="45"/>
      <c r="H21" s="45"/>
      <c r="I21" s="46">
        <f>I22+I23+I24+I25</f>
        <v>177415.19</v>
      </c>
      <c r="J21" s="39"/>
      <c r="K21" s="9" t="s">
        <v>349</v>
      </c>
    </row>
    <row r="22" spans="1:11" ht="14" hidden="1" x14ac:dyDescent="0.3">
      <c r="A22" s="9"/>
      <c r="B22" s="9"/>
      <c r="C22" s="9"/>
      <c r="D22" s="9"/>
      <c r="E22" s="9"/>
      <c r="F22" s="45" t="s">
        <v>350</v>
      </c>
      <c r="G22" s="45"/>
      <c r="H22" s="45"/>
      <c r="I22" s="46">
        <f>ROUND((Source!F268)/1000, 2)</f>
        <v>0</v>
      </c>
      <c r="J22" s="39"/>
      <c r="K22" s="9" t="s">
        <v>349</v>
      </c>
    </row>
    <row r="23" spans="1:11" ht="14" hidden="1" x14ac:dyDescent="0.3">
      <c r="A23" s="9"/>
      <c r="B23" s="9"/>
      <c r="C23" s="9"/>
      <c r="D23" s="9"/>
      <c r="E23" s="9"/>
      <c r="F23" s="45" t="s">
        <v>351</v>
      </c>
      <c r="G23" s="45"/>
      <c r="H23" s="45"/>
      <c r="I23" s="46">
        <f>ROUND((Source!F269)/1000, 2)</f>
        <v>0</v>
      </c>
      <c r="J23" s="39"/>
      <c r="K23" s="9" t="s">
        <v>349</v>
      </c>
    </row>
    <row r="24" spans="1:11" ht="14" hidden="1" x14ac:dyDescent="0.3">
      <c r="A24" s="9"/>
      <c r="B24" s="9"/>
      <c r="C24" s="9"/>
      <c r="D24" s="9"/>
      <c r="E24" s="9"/>
      <c r="F24" s="45" t="s">
        <v>352</v>
      </c>
      <c r="G24" s="45"/>
      <c r="H24" s="45"/>
      <c r="I24" s="46">
        <f>ROUND((Source!F260)/1000, 2)</f>
        <v>0</v>
      </c>
      <c r="J24" s="39"/>
      <c r="K24" s="9" t="s">
        <v>349</v>
      </c>
    </row>
    <row r="25" spans="1:11" ht="14" hidden="1" x14ac:dyDescent="0.3">
      <c r="A25" s="9"/>
      <c r="B25" s="9"/>
      <c r="C25" s="9"/>
      <c r="D25" s="9"/>
      <c r="E25" s="9"/>
      <c r="F25" s="45" t="s">
        <v>353</v>
      </c>
      <c r="G25" s="45"/>
      <c r="H25" s="45"/>
      <c r="I25" s="46">
        <f>ROUND((Source!F270+Source!F271)/1000, 2)</f>
        <v>177415.19</v>
      </c>
      <c r="J25" s="39"/>
      <c r="K25" s="9" t="s">
        <v>349</v>
      </c>
    </row>
    <row r="26" spans="1:11" ht="14" x14ac:dyDescent="0.3">
      <c r="A26" s="9"/>
      <c r="B26" s="9"/>
      <c r="C26" s="9"/>
      <c r="D26" s="9"/>
      <c r="E26" s="9"/>
      <c r="F26" s="45" t="s">
        <v>354</v>
      </c>
      <c r="G26" s="45"/>
      <c r="H26" s="45"/>
      <c r="I26" s="46">
        <f>(Source!F266+ Source!F265)/1000</f>
        <v>68162.034469999999</v>
      </c>
      <c r="J26" s="39"/>
      <c r="K26" s="9" t="s">
        <v>349</v>
      </c>
    </row>
    <row r="27" spans="1:11" ht="14" x14ac:dyDescent="0.3">
      <c r="A27" s="9" t="s">
        <v>368</v>
      </c>
      <c r="B27" s="9"/>
      <c r="C27" s="9"/>
      <c r="D27" s="14"/>
      <c r="E27" s="15"/>
      <c r="F27" s="9"/>
      <c r="G27" s="9"/>
      <c r="H27" s="9"/>
      <c r="I27" s="9"/>
      <c r="J27" s="9"/>
      <c r="K27" s="9"/>
    </row>
    <row r="28" spans="1:11" ht="14.5" x14ac:dyDescent="0.25">
      <c r="A28" s="49" t="s">
        <v>355</v>
      </c>
      <c r="B28" s="49" t="s">
        <v>356</v>
      </c>
      <c r="C28" s="49" t="s">
        <v>357</v>
      </c>
      <c r="D28" s="49" t="s">
        <v>358</v>
      </c>
      <c r="E28" s="49" t="s">
        <v>359</v>
      </c>
      <c r="F28" s="49" t="s">
        <v>360</v>
      </c>
      <c r="G28" s="49" t="s">
        <v>361</v>
      </c>
      <c r="H28" s="49" t="s">
        <v>362</v>
      </c>
      <c r="I28" s="49" t="s">
        <v>363</v>
      </c>
      <c r="J28" s="49" t="s">
        <v>364</v>
      </c>
      <c r="K28" s="16" t="s">
        <v>365</v>
      </c>
    </row>
    <row r="29" spans="1:11" ht="42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17" t="s">
        <v>366</v>
      </c>
    </row>
    <row r="30" spans="1:11" ht="42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17" t="s">
        <v>367</v>
      </c>
    </row>
    <row r="31" spans="1:11" ht="14" x14ac:dyDescent="0.25">
      <c r="A31" s="17">
        <v>1</v>
      </c>
      <c r="B31" s="17">
        <v>2</v>
      </c>
      <c r="C31" s="17">
        <v>3</v>
      </c>
      <c r="D31" s="17">
        <v>4</v>
      </c>
      <c r="E31" s="17">
        <v>5</v>
      </c>
      <c r="F31" s="17">
        <v>6</v>
      </c>
      <c r="G31" s="17">
        <v>7</v>
      </c>
      <c r="H31" s="17">
        <v>8</v>
      </c>
      <c r="I31" s="17">
        <v>9</v>
      </c>
      <c r="J31" s="17">
        <v>10</v>
      </c>
      <c r="K31" s="17">
        <v>11</v>
      </c>
    </row>
    <row r="33" spans="1:22" ht="16.5" x14ac:dyDescent="0.35">
      <c r="A33" s="51" t="str">
        <f>CONCATENATE("Локальная смета: ",IF(Source!G20&lt;&gt;"Новая локальная смета", Source!G20, ""))</f>
        <v>Локальная смета: Локальная смета: Зона №1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</row>
    <row r="35" spans="1:22" ht="16.5" x14ac:dyDescent="0.35">
      <c r="A35" s="51" t="str">
        <f>CONCATENATE("Раздел: ",IF(Source!G24&lt;&gt;"Новый раздел", Source!G24, ""))</f>
        <v>Раздел: Раздел: Основная зона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</row>
    <row r="37" spans="1:22" ht="16.5" x14ac:dyDescent="0.35">
      <c r="A37" s="51" t="str">
        <f>CONCATENATE("Подраздел: ",IF(Source!G28&lt;&gt;"Новый подраздел", Source!G28, ""))</f>
        <v xml:space="preserve">Подраздел: Подраздел: ЗИМНЯЯ УБОРКА 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</row>
    <row r="38" spans="1:22" ht="28" x14ac:dyDescent="0.35">
      <c r="A38" s="18">
        <v>1</v>
      </c>
      <c r="B38" s="18" t="str">
        <f>Source!F32</f>
        <v>5.3-1102-12-1/1</v>
      </c>
      <c r="C38" s="18" t="str">
        <f>Source!G32</f>
        <v>Уборка снега средствами малой механизации</v>
      </c>
      <c r="D38" s="19" t="str">
        <f>Source!H32</f>
        <v>1000 м2</v>
      </c>
      <c r="E38" s="8">
        <f>Source!I32</f>
        <v>123.58328</v>
      </c>
      <c r="F38" s="21"/>
      <c r="G38" s="20"/>
      <c r="H38" s="8"/>
      <c r="I38" s="8"/>
      <c r="J38" s="21"/>
      <c r="K38" s="21"/>
      <c r="Q38">
        <f>ROUND((Source!BZ32/100)*ROUND((Source!AF32*Source!AV32)*Source!I32, 2), 2)</f>
        <v>0</v>
      </c>
      <c r="R38">
        <f>Source!X32</f>
        <v>0</v>
      </c>
      <c r="S38">
        <f>ROUND((Source!CA32/100)*ROUND((Source!AF32*Source!AV32)*Source!I32, 2), 2)</f>
        <v>0</v>
      </c>
      <c r="T38">
        <f>Source!Y32</f>
        <v>0</v>
      </c>
      <c r="U38">
        <f>ROUND((175/100)*ROUND((Source!AE32*Source!AV32)*Source!I32, 2), 2)</f>
        <v>5192000.84</v>
      </c>
      <c r="V38">
        <f>ROUND((108/100)*ROUND(Source!CS32*Source!I32, 2), 2)</f>
        <v>3204206.23</v>
      </c>
    </row>
    <row r="39" spans="1:22" ht="14.5" x14ac:dyDescent="0.35">
      <c r="A39" s="18"/>
      <c r="B39" s="18"/>
      <c r="C39" s="18" t="s">
        <v>369</v>
      </c>
      <c r="D39" s="19"/>
      <c r="E39" s="8"/>
      <c r="F39" s="21">
        <f>Source!AM32</f>
        <v>1257.99</v>
      </c>
      <c r="G39" s="20" t="str">
        <f>Source!DE32</f>
        <v>)*55</v>
      </c>
      <c r="H39" s="8">
        <f>Source!AV32</f>
        <v>1</v>
      </c>
      <c r="I39" s="8">
        <f>IF(Source!BB32&lt;&gt; 0, Source!BB32, 1)</f>
        <v>1</v>
      </c>
      <c r="J39" s="21">
        <f>Source!Q32</f>
        <v>8550659.1699999999</v>
      </c>
      <c r="K39" s="21"/>
    </row>
    <row r="40" spans="1:22" ht="14.5" x14ac:dyDescent="0.35">
      <c r="A40" s="18"/>
      <c r="B40" s="18"/>
      <c r="C40" s="18" t="s">
        <v>370</v>
      </c>
      <c r="D40" s="19"/>
      <c r="E40" s="8"/>
      <c r="F40" s="21">
        <f>Source!AN32</f>
        <v>436.49</v>
      </c>
      <c r="G40" s="20" t="str">
        <f>Source!DF32</f>
        <v>)*55</v>
      </c>
      <c r="H40" s="8">
        <f>Source!AV32</f>
        <v>1</v>
      </c>
      <c r="I40" s="8">
        <f>IF(Source!BS32&lt;&gt; 0, Source!BS32, 1)</f>
        <v>1</v>
      </c>
      <c r="J40" s="22">
        <f>Source!R32</f>
        <v>2966857.62</v>
      </c>
      <c r="K40" s="21"/>
    </row>
    <row r="41" spans="1:22" ht="14.5" x14ac:dyDescent="0.35">
      <c r="A41" s="18"/>
      <c r="B41" s="18"/>
      <c r="C41" s="18" t="s">
        <v>371</v>
      </c>
      <c r="D41" s="19" t="s">
        <v>372</v>
      </c>
      <c r="E41" s="8">
        <f>108</f>
        <v>108</v>
      </c>
      <c r="F41" s="21"/>
      <c r="G41" s="20"/>
      <c r="H41" s="8"/>
      <c r="I41" s="8"/>
      <c r="J41" s="21">
        <f>SUM(V38:V40)</f>
        <v>3204206.23</v>
      </c>
      <c r="K41" s="21"/>
    </row>
    <row r="42" spans="1:22" ht="14" x14ac:dyDescent="0.3">
      <c r="A42" s="25"/>
      <c r="B42" s="25"/>
      <c r="C42" s="25"/>
      <c r="D42" s="25"/>
      <c r="E42" s="25"/>
      <c r="F42" s="25"/>
      <c r="G42" s="25"/>
      <c r="H42" s="25"/>
      <c r="I42" s="52">
        <f>J39+J41</f>
        <v>11754865.4</v>
      </c>
      <c r="J42" s="52"/>
      <c r="K42" s="26">
        <f>IF(Source!I32&lt;&gt;0, ROUND(I42/Source!I32, 2), 0)</f>
        <v>95116.96</v>
      </c>
      <c r="P42" s="23">
        <f>I42</f>
        <v>11754865.4</v>
      </c>
    </row>
    <row r="43" spans="1:22" ht="28" x14ac:dyDescent="0.35">
      <c r="A43" s="18">
        <v>2</v>
      </c>
      <c r="B43" s="18" t="str">
        <f>Source!F33</f>
        <v>5.3-1102-8-1/1</v>
      </c>
      <c r="C43" s="18" t="str">
        <f>Source!G33</f>
        <v>Уборка свежевыпавшего снега вручную толщиной слоя до 10 см</v>
      </c>
      <c r="D43" s="19" t="str">
        <f>Source!H33</f>
        <v>100 м2</v>
      </c>
      <c r="E43" s="8">
        <f>Source!I33</f>
        <v>308.95819999999998</v>
      </c>
      <c r="F43" s="21"/>
      <c r="G43" s="20"/>
      <c r="H43" s="8"/>
      <c r="I43" s="8"/>
      <c r="J43" s="21"/>
      <c r="K43" s="21"/>
      <c r="Q43">
        <f>ROUND((Source!BZ33/100)*ROUND((Source!AF33*Source!AV33)*Source!I33, 2), 2)</f>
        <v>3503521.11</v>
      </c>
      <c r="R43">
        <f>Source!X33</f>
        <v>3503521.11</v>
      </c>
      <c r="S43">
        <f>ROUND((Source!CA33/100)*ROUND((Source!AF33*Source!AV33)*Source!I33, 2), 2)</f>
        <v>500503.02</v>
      </c>
      <c r="T43">
        <f>Source!Y33</f>
        <v>500503.02</v>
      </c>
      <c r="U43">
        <f>ROUND((175/100)*ROUND((Source!AE33*Source!AV33)*Source!I33, 2), 2)</f>
        <v>0</v>
      </c>
      <c r="V43">
        <f>ROUND((108/100)*ROUND(Source!CS33*Source!I33, 2), 2)</f>
        <v>0</v>
      </c>
    </row>
    <row r="44" spans="1:22" ht="14.5" x14ac:dyDescent="0.35">
      <c r="A44" s="18"/>
      <c r="B44" s="18"/>
      <c r="C44" s="18" t="s">
        <v>373</v>
      </c>
      <c r="D44" s="19"/>
      <c r="E44" s="8"/>
      <c r="F44" s="21">
        <f>Source!AO33</f>
        <v>294.54000000000002</v>
      </c>
      <c r="G44" s="20" t="str">
        <f>Source!DG33</f>
        <v>)*55</v>
      </c>
      <c r="H44" s="8">
        <f>Source!AV33</f>
        <v>1</v>
      </c>
      <c r="I44" s="8">
        <f>IF(Source!BA33&lt;&gt; 0, Source!BA33, 1)</f>
        <v>1</v>
      </c>
      <c r="J44" s="21">
        <f>Source!S33</f>
        <v>5005030.1500000004</v>
      </c>
      <c r="K44" s="21"/>
    </row>
    <row r="45" spans="1:22" ht="14.5" x14ac:dyDescent="0.35">
      <c r="A45" s="18"/>
      <c r="B45" s="18"/>
      <c r="C45" s="18" t="s">
        <v>374</v>
      </c>
      <c r="D45" s="19" t="s">
        <v>372</v>
      </c>
      <c r="E45" s="8">
        <f>Source!AT33</f>
        <v>70</v>
      </c>
      <c r="F45" s="21"/>
      <c r="G45" s="20"/>
      <c r="H45" s="8"/>
      <c r="I45" s="8"/>
      <c r="J45" s="21">
        <f>SUM(R43:R44)</f>
        <v>3503521.11</v>
      </c>
      <c r="K45" s="21"/>
    </row>
    <row r="46" spans="1:22" ht="14.5" x14ac:dyDescent="0.35">
      <c r="A46" s="18"/>
      <c r="B46" s="18"/>
      <c r="C46" s="18" t="s">
        <v>375</v>
      </c>
      <c r="D46" s="19" t="s">
        <v>372</v>
      </c>
      <c r="E46" s="8">
        <f>Source!AU33</f>
        <v>10</v>
      </c>
      <c r="F46" s="21"/>
      <c r="G46" s="20"/>
      <c r="H46" s="8"/>
      <c r="I46" s="8"/>
      <c r="J46" s="21">
        <f>SUM(T43:T45)</f>
        <v>500503.02</v>
      </c>
      <c r="K46" s="21"/>
    </row>
    <row r="47" spans="1:22" ht="14.5" x14ac:dyDescent="0.35">
      <c r="A47" s="18"/>
      <c r="B47" s="18"/>
      <c r="C47" s="18" t="s">
        <v>376</v>
      </c>
      <c r="D47" s="19" t="s">
        <v>377</v>
      </c>
      <c r="E47" s="8">
        <f>Source!AQ33</f>
        <v>0.65</v>
      </c>
      <c r="F47" s="21"/>
      <c r="G47" s="20" t="str">
        <f>Source!DI33</f>
        <v>)*55</v>
      </c>
      <c r="H47" s="8">
        <f>Source!AV33</f>
        <v>1</v>
      </c>
      <c r="I47" s="8"/>
      <c r="J47" s="21"/>
      <c r="K47" s="21">
        <f>Source!U33</f>
        <v>11045.255649999999</v>
      </c>
    </row>
    <row r="48" spans="1:22" ht="14" x14ac:dyDescent="0.3">
      <c r="A48" s="25"/>
      <c r="B48" s="25"/>
      <c r="C48" s="25"/>
      <c r="D48" s="25"/>
      <c r="E48" s="25"/>
      <c r="F48" s="25"/>
      <c r="G48" s="25"/>
      <c r="H48" s="25"/>
      <c r="I48" s="52">
        <f>J44+J45+J46</f>
        <v>9009054.2799999993</v>
      </c>
      <c r="J48" s="52"/>
      <c r="K48" s="26">
        <f>IF(Source!I33&lt;&gt;0, ROUND(I48/Source!I33, 2), 0)</f>
        <v>29159.46</v>
      </c>
      <c r="P48" s="23">
        <f>I48</f>
        <v>9009054.2799999993</v>
      </c>
    </row>
    <row r="49" spans="1:22" ht="42" x14ac:dyDescent="0.35">
      <c r="A49" s="18">
        <v>3</v>
      </c>
      <c r="B49" s="18" t="str">
        <f>Source!F34</f>
        <v>5.3-1101-15-1/1</v>
      </c>
      <c r="C49" s="18" t="str">
        <f>Source!G34</f>
        <v>Подметание тротуаров, придомовых и внутрибольничных проездов средствами малой механизации</v>
      </c>
      <c r="D49" s="19" t="str">
        <f>Source!H34</f>
        <v>1000 м2</v>
      </c>
      <c r="E49" s="8">
        <f>Source!I34</f>
        <v>123.58328</v>
      </c>
      <c r="F49" s="21"/>
      <c r="G49" s="20"/>
      <c r="H49" s="8"/>
      <c r="I49" s="8"/>
      <c r="J49" s="21"/>
      <c r="K49" s="21"/>
      <c r="Q49">
        <f>ROUND((Source!BZ34/100)*ROUND((Source!AF34*Source!AV34)*Source!I34, 2), 2)</f>
        <v>0</v>
      </c>
      <c r="R49">
        <f>Source!X34</f>
        <v>0</v>
      </c>
      <c r="S49">
        <f>ROUND((Source!CA34/100)*ROUND((Source!AF34*Source!AV34)*Source!I34, 2), 2)</f>
        <v>0</v>
      </c>
      <c r="T49">
        <f>Source!Y34</f>
        <v>0</v>
      </c>
      <c r="U49">
        <f>ROUND((175/100)*ROUND((Source!AE34*Source!AV34)*Source!I34, 2), 2)</f>
        <v>5260926.34</v>
      </c>
      <c r="V49">
        <f>ROUND((108/100)*ROUND(Source!CS34*Source!I34, 2), 2)</f>
        <v>3246743.11</v>
      </c>
    </row>
    <row r="50" spans="1:22" ht="14.5" x14ac:dyDescent="0.35">
      <c r="A50" s="18"/>
      <c r="B50" s="18"/>
      <c r="C50" s="18" t="s">
        <v>369</v>
      </c>
      <c r="D50" s="19"/>
      <c r="E50" s="8"/>
      <c r="F50" s="21">
        <f>Source!AM34</f>
        <v>463.65</v>
      </c>
      <c r="G50" s="20" t="str">
        <f>Source!DE34</f>
        <v>)*111</v>
      </c>
      <c r="H50" s="8">
        <f>Source!AV34</f>
        <v>1</v>
      </c>
      <c r="I50" s="8">
        <f>IF(Source!BB34&lt;&gt; 0, Source!BB34, 1)</f>
        <v>1</v>
      </c>
      <c r="J50" s="21">
        <f>Source!Q34</f>
        <v>6360232.04</v>
      </c>
      <c r="K50" s="21"/>
    </row>
    <row r="51" spans="1:22" ht="14.5" x14ac:dyDescent="0.35">
      <c r="A51" s="18"/>
      <c r="B51" s="18"/>
      <c r="C51" s="18" t="s">
        <v>370</v>
      </c>
      <c r="D51" s="19"/>
      <c r="E51" s="8"/>
      <c r="F51" s="21">
        <f>Source!AN34</f>
        <v>219.15</v>
      </c>
      <c r="G51" s="20" t="str">
        <f>Source!DF34</f>
        <v>)*111</v>
      </c>
      <c r="H51" s="8">
        <f>Source!AV34</f>
        <v>1</v>
      </c>
      <c r="I51" s="8">
        <f>IF(Source!BS34&lt;&gt; 0, Source!BS34, 1)</f>
        <v>1</v>
      </c>
      <c r="J51" s="22">
        <f>Source!R34</f>
        <v>3006243.62</v>
      </c>
      <c r="K51" s="21"/>
    </row>
    <row r="52" spans="1:22" ht="14.5" x14ac:dyDescent="0.35">
      <c r="A52" s="18"/>
      <c r="B52" s="18"/>
      <c r="C52" s="18" t="s">
        <v>378</v>
      </c>
      <c r="D52" s="19"/>
      <c r="E52" s="8"/>
      <c r="F52" s="21">
        <f>Source!AL34</f>
        <v>10.96</v>
      </c>
      <c r="G52" s="20" t="str">
        <f>Source!DD34</f>
        <v>)*111</v>
      </c>
      <c r="H52" s="8">
        <f>Source!AW34</f>
        <v>1</v>
      </c>
      <c r="I52" s="8">
        <f>IF(Source!BC34&lt;&gt; 0, Source!BC34, 1)</f>
        <v>1</v>
      </c>
      <c r="J52" s="21">
        <f>Source!P34</f>
        <v>150346.48000000001</v>
      </c>
      <c r="K52" s="21"/>
    </row>
    <row r="53" spans="1:22" ht="14.5" x14ac:dyDescent="0.35">
      <c r="A53" s="18" t="s">
        <v>36</v>
      </c>
      <c r="B53" s="18" t="str">
        <f>Source!F35</f>
        <v>21.1-25-13</v>
      </c>
      <c r="C53" s="18" t="str">
        <f>Source!G35</f>
        <v>Вода</v>
      </c>
      <c r="D53" s="19" t="str">
        <f>Source!H35</f>
        <v>м3</v>
      </c>
      <c r="E53" s="8">
        <f>Source!I35</f>
        <v>-2743.548816</v>
      </c>
      <c r="F53" s="21">
        <f>Source!AK35</f>
        <v>54.81</v>
      </c>
      <c r="G53" s="27" t="s">
        <v>379</v>
      </c>
      <c r="H53" s="8">
        <f>Source!AW35</f>
        <v>1</v>
      </c>
      <c r="I53" s="8">
        <f>IF(Source!BC35&lt;&gt; 0, Source!BC35, 1)</f>
        <v>1</v>
      </c>
      <c r="J53" s="21">
        <f>Source!O35</f>
        <v>-150373.91</v>
      </c>
      <c r="K53" s="21"/>
      <c r="Q53">
        <f>ROUND((Source!BZ35/100)*ROUND((Source!AF35*Source!AV35)*Source!I35, 2), 2)</f>
        <v>0</v>
      </c>
      <c r="R53">
        <f>Source!X35</f>
        <v>0</v>
      </c>
      <c r="S53">
        <f>ROUND((Source!CA35/100)*ROUND((Source!AF35*Source!AV35)*Source!I35, 2), 2)</f>
        <v>0</v>
      </c>
      <c r="T53">
        <f>Source!Y35</f>
        <v>0</v>
      </c>
      <c r="U53">
        <f>ROUND((175/100)*ROUND((Source!AE35*Source!AV35)*Source!I35, 2), 2)</f>
        <v>0</v>
      </c>
      <c r="V53">
        <f>ROUND((108/100)*ROUND(Source!CS35*Source!I35, 2), 2)</f>
        <v>0</v>
      </c>
    </row>
    <row r="54" spans="1:22" ht="14.5" x14ac:dyDescent="0.35">
      <c r="A54" s="18"/>
      <c r="B54" s="18"/>
      <c r="C54" s="18" t="s">
        <v>371</v>
      </c>
      <c r="D54" s="19" t="s">
        <v>372</v>
      </c>
      <c r="E54" s="8">
        <f>108</f>
        <v>108</v>
      </c>
      <c r="F54" s="21"/>
      <c r="G54" s="20"/>
      <c r="H54" s="8"/>
      <c r="I54" s="8"/>
      <c r="J54" s="21">
        <f>SUM(V49:V53)</f>
        <v>3246743.11</v>
      </c>
      <c r="K54" s="21"/>
    </row>
    <row r="55" spans="1:22" ht="14" x14ac:dyDescent="0.3">
      <c r="A55" s="25"/>
      <c r="B55" s="25"/>
      <c r="C55" s="25"/>
      <c r="D55" s="25"/>
      <c r="E55" s="25"/>
      <c r="F55" s="25"/>
      <c r="G55" s="25"/>
      <c r="H55" s="25"/>
      <c r="I55" s="52">
        <f>J50+J52+J54+SUM(J53:J53)</f>
        <v>9606947.7200000007</v>
      </c>
      <c r="J55" s="52"/>
      <c r="K55" s="26">
        <f>IF(Source!I34&lt;&gt;0, ROUND(I55/Source!I34, 2), 0)</f>
        <v>77736.63</v>
      </c>
      <c r="P55" s="23">
        <f>I55</f>
        <v>9606947.7200000007</v>
      </c>
    </row>
    <row r="56" spans="1:22" ht="28" x14ac:dyDescent="0.35">
      <c r="A56" s="18">
        <v>4</v>
      </c>
      <c r="B56" s="18" t="str">
        <f>Source!F36</f>
        <v>5.3-1101-13-1/1</v>
      </c>
      <c r="C56" s="18" t="str">
        <f>Source!G36</f>
        <v>Подметание вручную дорожек и площадок с твердым покрытием</v>
      </c>
      <c r="D56" s="19" t="str">
        <f>Source!H36</f>
        <v>100 м2</v>
      </c>
      <c r="E56" s="8">
        <f>Source!I36</f>
        <v>308.95819999999998</v>
      </c>
      <c r="F56" s="21"/>
      <c r="G56" s="20"/>
      <c r="H56" s="8"/>
      <c r="I56" s="8"/>
      <c r="J56" s="21"/>
      <c r="K56" s="21"/>
      <c r="Q56">
        <f>ROUND((Source!BZ36/100)*ROUND((Source!AF36*Source!AV36)*Source!I36, 2), 2)</f>
        <v>1522943.95</v>
      </c>
      <c r="R56">
        <f>Source!X36</f>
        <v>1522943.95</v>
      </c>
      <c r="S56">
        <f>ROUND((Source!CA36/100)*ROUND((Source!AF36*Source!AV36)*Source!I36, 2), 2)</f>
        <v>217563.42</v>
      </c>
      <c r="T56">
        <f>Source!Y36</f>
        <v>217563.42</v>
      </c>
      <c r="U56">
        <f>ROUND((175/100)*ROUND((Source!AE36*Source!AV36)*Source!I36, 2), 2)</f>
        <v>0</v>
      </c>
      <c r="V56">
        <f>ROUND((108/100)*ROUND(Source!CS36*Source!I36, 2), 2)</f>
        <v>0</v>
      </c>
    </row>
    <row r="57" spans="1:22" ht="14.5" x14ac:dyDescent="0.35">
      <c r="A57" s="18"/>
      <c r="B57" s="18"/>
      <c r="C57" s="18" t="s">
        <v>373</v>
      </c>
      <c r="D57" s="19"/>
      <c r="E57" s="8"/>
      <c r="F57" s="21">
        <f>Source!AO36</f>
        <v>63.44</v>
      </c>
      <c r="G57" s="20" t="str">
        <f>Source!DG36</f>
        <v>)*111</v>
      </c>
      <c r="H57" s="8">
        <f>Source!AV36</f>
        <v>1</v>
      </c>
      <c r="I57" s="8">
        <f>IF(Source!BA36&lt;&gt; 0, Source!BA36, 1)</f>
        <v>1</v>
      </c>
      <c r="J57" s="21">
        <f>Source!S36</f>
        <v>2175634.21</v>
      </c>
      <c r="K57" s="21"/>
    </row>
    <row r="58" spans="1:22" ht="14.5" x14ac:dyDescent="0.35">
      <c r="A58" s="18"/>
      <c r="B58" s="18"/>
      <c r="C58" s="18" t="s">
        <v>374</v>
      </c>
      <c r="D58" s="19" t="s">
        <v>372</v>
      </c>
      <c r="E58" s="8">
        <f>Source!AT36</f>
        <v>70</v>
      </c>
      <c r="F58" s="21"/>
      <c r="G58" s="20"/>
      <c r="H58" s="8"/>
      <c r="I58" s="8"/>
      <c r="J58" s="21">
        <f>SUM(R56:R57)</f>
        <v>1522943.95</v>
      </c>
      <c r="K58" s="21"/>
    </row>
    <row r="59" spans="1:22" ht="14.5" x14ac:dyDescent="0.35">
      <c r="A59" s="18"/>
      <c r="B59" s="18"/>
      <c r="C59" s="18" t="s">
        <v>375</v>
      </c>
      <c r="D59" s="19" t="s">
        <v>372</v>
      </c>
      <c r="E59" s="8">
        <f>Source!AU36</f>
        <v>10</v>
      </c>
      <c r="F59" s="21"/>
      <c r="G59" s="20"/>
      <c r="H59" s="8"/>
      <c r="I59" s="8"/>
      <c r="J59" s="21">
        <f>SUM(T56:T58)</f>
        <v>217563.42</v>
      </c>
      <c r="K59" s="21"/>
    </row>
    <row r="60" spans="1:22" ht="14.5" x14ac:dyDescent="0.35">
      <c r="A60" s="18"/>
      <c r="B60" s="18"/>
      <c r="C60" s="18" t="s">
        <v>376</v>
      </c>
      <c r="D60" s="19" t="s">
        <v>377</v>
      </c>
      <c r="E60" s="8">
        <f>Source!AQ36</f>
        <v>0.14000000000000001</v>
      </c>
      <c r="F60" s="21"/>
      <c r="G60" s="20" t="str">
        <f>Source!DI36</f>
        <v>)*111</v>
      </c>
      <c r="H60" s="8">
        <f>Source!AV36</f>
        <v>1</v>
      </c>
      <c r="I60" s="8"/>
      <c r="J60" s="21"/>
      <c r="K60" s="21">
        <f>Source!U36</f>
        <v>4801.2104280000003</v>
      </c>
    </row>
    <row r="61" spans="1:22" ht="14" x14ac:dyDescent="0.3">
      <c r="A61" s="25"/>
      <c r="B61" s="25"/>
      <c r="C61" s="25"/>
      <c r="D61" s="25"/>
      <c r="E61" s="25"/>
      <c r="F61" s="25"/>
      <c r="G61" s="25"/>
      <c r="H61" s="25"/>
      <c r="I61" s="52">
        <f>J57+J58+J59</f>
        <v>3916141.58</v>
      </c>
      <c r="J61" s="52"/>
      <c r="K61" s="26">
        <f>IF(Source!I36&lt;&gt;0, ROUND(I61/Source!I36, 2), 0)</f>
        <v>12675.31</v>
      </c>
      <c r="P61" s="23">
        <f>I61</f>
        <v>3916141.58</v>
      </c>
    </row>
    <row r="62" spans="1:22" ht="42" x14ac:dyDescent="0.35">
      <c r="A62" s="18">
        <v>5</v>
      </c>
      <c r="B62" s="18" t="str">
        <f>Source!F37</f>
        <v>5.3-1101-13-2/1</v>
      </c>
      <c r="C62" s="18" t="str">
        <f>Source!G37</f>
        <v>Подметание вручную дорожек и площадок с грунтовым и щебеночным покрытием</v>
      </c>
      <c r="D62" s="19" t="str">
        <f>Source!H37</f>
        <v>100 м2</v>
      </c>
      <c r="E62" s="8">
        <f>Source!I37</f>
        <v>60.811999999999998</v>
      </c>
      <c r="F62" s="21"/>
      <c r="G62" s="20"/>
      <c r="H62" s="8"/>
      <c r="I62" s="8"/>
      <c r="J62" s="21"/>
      <c r="K62" s="21"/>
      <c r="Q62">
        <f>ROUND((Source!BZ37/100)*ROUND((Source!AF37*Source!AV37)*Source!I37, 2), 2)</f>
        <v>254612.25</v>
      </c>
      <c r="R62">
        <f>Source!X37</f>
        <v>254612.25</v>
      </c>
      <c r="S62">
        <f>ROUND((Source!CA37/100)*ROUND((Source!AF37*Source!AV37)*Source!I37, 2), 2)</f>
        <v>36373.18</v>
      </c>
      <c r="T62">
        <f>Source!Y37</f>
        <v>36373.18</v>
      </c>
      <c r="U62">
        <f>ROUND((175/100)*ROUND((Source!AE37*Source!AV37)*Source!I37, 2), 2)</f>
        <v>0</v>
      </c>
      <c r="V62">
        <f>ROUND((108/100)*ROUND(Source!CS37*Source!I37, 2), 2)</f>
        <v>0</v>
      </c>
    </row>
    <row r="63" spans="1:22" ht="14.5" x14ac:dyDescent="0.35">
      <c r="A63" s="18"/>
      <c r="B63" s="18"/>
      <c r="C63" s="18" t="s">
        <v>373</v>
      </c>
      <c r="D63" s="19"/>
      <c r="E63" s="8"/>
      <c r="F63" s="21">
        <f>Source!AO37</f>
        <v>108.75</v>
      </c>
      <c r="G63" s="20" t="str">
        <f>Source!DG37</f>
        <v>)*55</v>
      </c>
      <c r="H63" s="8">
        <f>Source!AV37</f>
        <v>1</v>
      </c>
      <c r="I63" s="8">
        <f>IF(Source!BA37&lt;&gt; 0, Source!BA37, 1)</f>
        <v>1</v>
      </c>
      <c r="J63" s="21">
        <f>Source!S37</f>
        <v>363731.78</v>
      </c>
      <c r="K63" s="21"/>
    </row>
    <row r="64" spans="1:22" ht="14.5" x14ac:dyDescent="0.35">
      <c r="A64" s="18"/>
      <c r="B64" s="18"/>
      <c r="C64" s="18" t="s">
        <v>374</v>
      </c>
      <c r="D64" s="19" t="s">
        <v>372</v>
      </c>
      <c r="E64" s="8">
        <f>Source!AT37</f>
        <v>70</v>
      </c>
      <c r="F64" s="21"/>
      <c r="G64" s="20"/>
      <c r="H64" s="8"/>
      <c r="I64" s="8"/>
      <c r="J64" s="21">
        <f>SUM(R62:R63)</f>
        <v>254612.25</v>
      </c>
      <c r="K64" s="21"/>
    </row>
    <row r="65" spans="1:22" ht="14.5" x14ac:dyDescent="0.35">
      <c r="A65" s="18"/>
      <c r="B65" s="18"/>
      <c r="C65" s="18" t="s">
        <v>375</v>
      </c>
      <c r="D65" s="19" t="s">
        <v>372</v>
      </c>
      <c r="E65" s="8">
        <f>Source!AU37</f>
        <v>10</v>
      </c>
      <c r="F65" s="21"/>
      <c r="G65" s="20"/>
      <c r="H65" s="8"/>
      <c r="I65" s="8"/>
      <c r="J65" s="21">
        <f>SUM(T62:T64)</f>
        <v>36373.18</v>
      </c>
      <c r="K65" s="21"/>
    </row>
    <row r="66" spans="1:22" ht="14.5" x14ac:dyDescent="0.35">
      <c r="A66" s="18"/>
      <c r="B66" s="18"/>
      <c r="C66" s="18" t="s">
        <v>376</v>
      </c>
      <c r="D66" s="19" t="s">
        <v>377</v>
      </c>
      <c r="E66" s="8">
        <f>Source!AQ37</f>
        <v>0.24</v>
      </c>
      <c r="F66" s="21"/>
      <c r="G66" s="20" t="str">
        <f>Source!DI37</f>
        <v>)*55</v>
      </c>
      <c r="H66" s="8">
        <f>Source!AV37</f>
        <v>1</v>
      </c>
      <c r="I66" s="8"/>
      <c r="J66" s="21"/>
      <c r="K66" s="21">
        <f>Source!U37</f>
        <v>802.71839999999997</v>
      </c>
    </row>
    <row r="67" spans="1:22" ht="14" x14ac:dyDescent="0.3">
      <c r="A67" s="25"/>
      <c r="B67" s="25"/>
      <c r="C67" s="25"/>
      <c r="D67" s="25"/>
      <c r="E67" s="25"/>
      <c r="F67" s="25"/>
      <c r="G67" s="25"/>
      <c r="H67" s="25"/>
      <c r="I67" s="52">
        <f>J63+J64+J65</f>
        <v>654717.21000000008</v>
      </c>
      <c r="J67" s="52"/>
      <c r="K67" s="26">
        <f>IF(Source!I37&lt;&gt;0, ROUND(I67/Source!I37, 2), 0)</f>
        <v>10766.25</v>
      </c>
      <c r="P67" s="23">
        <f>I67</f>
        <v>654717.21000000008</v>
      </c>
    </row>
    <row r="68" spans="1:22" ht="42" x14ac:dyDescent="0.35">
      <c r="A68" s="18">
        <v>6</v>
      </c>
      <c r="B68" s="18" t="str">
        <f>Source!F38</f>
        <v>5.3-1102-21-1/1</v>
      </c>
      <c r="C68" s="18" t="str">
        <f>Source!G38</f>
        <v>Уборка детских и спортивных площадок с резиновым покрытием от снега - свежевыпавшего толщиной до 5 см</v>
      </c>
      <c r="D68" s="19" t="str">
        <f>Source!H38</f>
        <v>100 м2</v>
      </c>
      <c r="E68" s="8">
        <f>Source!I38</f>
        <v>6.35</v>
      </c>
      <c r="F68" s="21"/>
      <c r="G68" s="20"/>
      <c r="H68" s="8"/>
      <c r="I68" s="8"/>
      <c r="J68" s="21"/>
      <c r="K68" s="21"/>
      <c r="Q68">
        <f>ROUND((Source!BZ38/100)*ROUND((Source!AF38*Source!AV38)*Source!I38, 2), 2)</f>
        <v>114103.82</v>
      </c>
      <c r="R68">
        <f>Source!X38</f>
        <v>114103.82</v>
      </c>
      <c r="S68">
        <f>ROUND((Source!CA38/100)*ROUND((Source!AF38*Source!AV38)*Source!I38, 2), 2)</f>
        <v>16300.55</v>
      </c>
      <c r="T68">
        <f>Source!Y38</f>
        <v>16300.55</v>
      </c>
      <c r="U68">
        <f>ROUND((175/100)*ROUND((Source!AE38*Source!AV38)*Source!I38, 2), 2)</f>
        <v>0</v>
      </c>
      <c r="V68">
        <f>ROUND((108/100)*ROUND(Source!CS38*Source!I38, 2), 2)</f>
        <v>0</v>
      </c>
    </row>
    <row r="69" spans="1:22" ht="14.5" x14ac:dyDescent="0.35">
      <c r="A69" s="18"/>
      <c r="B69" s="18"/>
      <c r="C69" s="18" t="s">
        <v>373</v>
      </c>
      <c r="D69" s="19"/>
      <c r="E69" s="8"/>
      <c r="F69" s="21">
        <f>Source!AO38</f>
        <v>466.73</v>
      </c>
      <c r="G69" s="20" t="str">
        <f>Source!DG38</f>
        <v>)*55</v>
      </c>
      <c r="H69" s="8">
        <f>Source!AV38</f>
        <v>1</v>
      </c>
      <c r="I69" s="8">
        <f>IF(Source!BA38&lt;&gt; 0, Source!BA38, 1)</f>
        <v>1</v>
      </c>
      <c r="J69" s="21">
        <f>Source!S38</f>
        <v>163005.45000000001</v>
      </c>
      <c r="K69" s="21"/>
    </row>
    <row r="70" spans="1:22" ht="14.5" x14ac:dyDescent="0.35">
      <c r="A70" s="18"/>
      <c r="B70" s="18"/>
      <c r="C70" s="18" t="s">
        <v>374</v>
      </c>
      <c r="D70" s="19" t="s">
        <v>372</v>
      </c>
      <c r="E70" s="8">
        <f>Source!AT38</f>
        <v>70</v>
      </c>
      <c r="F70" s="21"/>
      <c r="G70" s="20"/>
      <c r="H70" s="8"/>
      <c r="I70" s="8"/>
      <c r="J70" s="21">
        <f>SUM(R68:R69)</f>
        <v>114103.82</v>
      </c>
      <c r="K70" s="21"/>
    </row>
    <row r="71" spans="1:22" ht="14.5" x14ac:dyDescent="0.35">
      <c r="A71" s="18"/>
      <c r="B71" s="18"/>
      <c r="C71" s="18" t="s">
        <v>375</v>
      </c>
      <c r="D71" s="19" t="s">
        <v>372</v>
      </c>
      <c r="E71" s="8">
        <f>Source!AU38</f>
        <v>10</v>
      </c>
      <c r="F71" s="21"/>
      <c r="G71" s="20"/>
      <c r="H71" s="8"/>
      <c r="I71" s="8"/>
      <c r="J71" s="21">
        <f>SUM(T68:T70)</f>
        <v>16300.55</v>
      </c>
      <c r="K71" s="21"/>
    </row>
    <row r="72" spans="1:22" ht="14.5" x14ac:dyDescent="0.35">
      <c r="A72" s="18"/>
      <c r="B72" s="18"/>
      <c r="C72" s="18" t="s">
        <v>376</v>
      </c>
      <c r="D72" s="19" t="s">
        <v>377</v>
      </c>
      <c r="E72" s="8">
        <f>Source!AQ38</f>
        <v>1.03</v>
      </c>
      <c r="F72" s="21"/>
      <c r="G72" s="20" t="str">
        <f>Source!DI38</f>
        <v>)*55</v>
      </c>
      <c r="H72" s="8">
        <f>Source!AV38</f>
        <v>1</v>
      </c>
      <c r="I72" s="8"/>
      <c r="J72" s="21"/>
      <c r="K72" s="21">
        <f>Source!U38</f>
        <v>359.72749999999996</v>
      </c>
    </row>
    <row r="73" spans="1:22" ht="14" x14ac:dyDescent="0.3">
      <c r="A73" s="25"/>
      <c r="B73" s="25"/>
      <c r="C73" s="25"/>
      <c r="D73" s="25"/>
      <c r="E73" s="25"/>
      <c r="F73" s="25"/>
      <c r="G73" s="25"/>
      <c r="H73" s="25"/>
      <c r="I73" s="52">
        <f>J69+J70+J71</f>
        <v>293409.82</v>
      </c>
      <c r="J73" s="52"/>
      <c r="K73" s="26">
        <f>IF(Source!I38&lt;&gt;0, ROUND(I73/Source!I38, 2), 0)</f>
        <v>46206.27</v>
      </c>
      <c r="P73" s="23">
        <f>I73</f>
        <v>293409.82</v>
      </c>
    </row>
    <row r="74" spans="1:22" ht="58" x14ac:dyDescent="0.35">
      <c r="A74" s="18">
        <v>7</v>
      </c>
      <c r="B74" s="18" t="str">
        <f>Source!F39</f>
        <v>5.3-1102-23-1/1</v>
      </c>
      <c r="C74" s="18" t="str">
        <f>Source!G39</f>
        <v>Уборка от снега деревянного настила - амфитеатра, тротуаров, лестниц, экотроп</v>
      </c>
      <c r="D74" s="19" t="str">
        <f>Source!H39</f>
        <v>100 м2 горизонтальной проекции</v>
      </c>
      <c r="E74" s="8">
        <f>Source!I39</f>
        <v>33.409999999999997</v>
      </c>
      <c r="F74" s="21"/>
      <c r="G74" s="20"/>
      <c r="H74" s="8"/>
      <c r="I74" s="8"/>
      <c r="J74" s="21"/>
      <c r="K74" s="21"/>
      <c r="Q74">
        <f>ROUND((Source!BZ39/100)*ROUND((Source!AF39*Source!AV39)*Source!I39, 2), 2)</f>
        <v>2220719.6</v>
      </c>
      <c r="R74">
        <f>Source!X39</f>
        <v>2220719.6</v>
      </c>
      <c r="S74">
        <f>ROUND((Source!CA39/100)*ROUND((Source!AF39*Source!AV39)*Source!I39, 2), 2)</f>
        <v>317245.65999999997</v>
      </c>
      <c r="T74">
        <f>Source!Y39</f>
        <v>317245.65999999997</v>
      </c>
      <c r="U74">
        <f>ROUND((175/100)*ROUND((Source!AE39*Source!AV39)*Source!I39, 2), 2)</f>
        <v>0</v>
      </c>
      <c r="V74">
        <f>ROUND((108/100)*ROUND(Source!CS39*Source!I39, 2), 2)</f>
        <v>0</v>
      </c>
    </row>
    <row r="75" spans="1:22" ht="14.5" x14ac:dyDescent="0.35">
      <c r="A75" s="18"/>
      <c r="B75" s="18"/>
      <c r="C75" s="18" t="s">
        <v>373</v>
      </c>
      <c r="D75" s="19"/>
      <c r="E75" s="8"/>
      <c r="F75" s="21">
        <f>Source!AO39</f>
        <v>1726.46</v>
      </c>
      <c r="G75" s="20" t="str">
        <f>Source!DG39</f>
        <v>)*55</v>
      </c>
      <c r="H75" s="8">
        <f>Source!AV39</f>
        <v>1</v>
      </c>
      <c r="I75" s="8">
        <f>IF(Source!BA39&lt;&gt; 0, Source!BA39, 1)</f>
        <v>1</v>
      </c>
      <c r="J75" s="21">
        <f>Source!S39</f>
        <v>3172456.57</v>
      </c>
      <c r="K75" s="21"/>
    </row>
    <row r="76" spans="1:22" ht="14.5" x14ac:dyDescent="0.35">
      <c r="A76" s="18"/>
      <c r="B76" s="18"/>
      <c r="C76" s="18" t="s">
        <v>374</v>
      </c>
      <c r="D76" s="19" t="s">
        <v>372</v>
      </c>
      <c r="E76" s="8">
        <f>Source!AT39</f>
        <v>70</v>
      </c>
      <c r="F76" s="21"/>
      <c r="G76" s="20"/>
      <c r="H76" s="8"/>
      <c r="I76" s="8"/>
      <c r="J76" s="21">
        <f>SUM(R74:R75)</f>
        <v>2220719.6</v>
      </c>
      <c r="K76" s="21"/>
    </row>
    <row r="77" spans="1:22" ht="14.5" x14ac:dyDescent="0.35">
      <c r="A77" s="18"/>
      <c r="B77" s="18"/>
      <c r="C77" s="18" t="s">
        <v>375</v>
      </c>
      <c r="D77" s="19" t="s">
        <v>372</v>
      </c>
      <c r="E77" s="8">
        <f>Source!AU39</f>
        <v>10</v>
      </c>
      <c r="F77" s="21"/>
      <c r="G77" s="20"/>
      <c r="H77" s="8"/>
      <c r="I77" s="8"/>
      <c r="J77" s="21">
        <f>SUM(T74:T76)</f>
        <v>317245.65999999997</v>
      </c>
      <c r="K77" s="21"/>
    </row>
    <row r="78" spans="1:22" ht="14.5" x14ac:dyDescent="0.35">
      <c r="A78" s="18"/>
      <c r="B78" s="18"/>
      <c r="C78" s="18" t="s">
        <v>376</v>
      </c>
      <c r="D78" s="19" t="s">
        <v>377</v>
      </c>
      <c r="E78" s="8">
        <f>Source!AQ39</f>
        <v>3.81</v>
      </c>
      <c r="F78" s="21"/>
      <c r="G78" s="20" t="str">
        <f>Source!DI39</f>
        <v>)*55</v>
      </c>
      <c r="H78" s="8">
        <f>Source!AV39</f>
        <v>1</v>
      </c>
      <c r="I78" s="8"/>
      <c r="J78" s="21"/>
      <c r="K78" s="21">
        <f>Source!U39</f>
        <v>7001.0654999999997</v>
      </c>
    </row>
    <row r="79" spans="1:22" ht="14" x14ac:dyDescent="0.3">
      <c r="A79" s="25"/>
      <c r="B79" s="25"/>
      <c r="C79" s="25"/>
      <c r="D79" s="25"/>
      <c r="E79" s="25"/>
      <c r="F79" s="25"/>
      <c r="G79" s="25"/>
      <c r="H79" s="25"/>
      <c r="I79" s="52">
        <f>J75+J76+J77</f>
        <v>5710421.8300000001</v>
      </c>
      <c r="J79" s="52"/>
      <c r="K79" s="26">
        <f>IF(Source!I39&lt;&gt;0, ROUND(I79/Source!I39, 2), 0)</f>
        <v>170919.54</v>
      </c>
      <c r="P79" s="23">
        <f>I79</f>
        <v>5710421.8300000001</v>
      </c>
    </row>
    <row r="80" spans="1:22" ht="42" x14ac:dyDescent="0.35">
      <c r="A80" s="18">
        <v>8</v>
      </c>
      <c r="B80" s="18" t="str">
        <f>Source!F40</f>
        <v>5.3-1102-10-3/1</v>
      </c>
      <c r="C80" s="18" t="str">
        <f>Source!G40</f>
        <v>Посыпка противогололедными реагентами ХКНтв дорожных покрытий вручную</v>
      </c>
      <c r="D80" s="19" t="str">
        <f>Source!H40</f>
        <v>100 м2</v>
      </c>
      <c r="E80" s="8">
        <f>Source!I40</f>
        <v>308.95819999999998</v>
      </c>
      <c r="F80" s="21"/>
      <c r="G80" s="20"/>
      <c r="H80" s="8"/>
      <c r="I80" s="8"/>
      <c r="J80" s="21"/>
      <c r="K80" s="21"/>
      <c r="Q80">
        <f>ROUND((Source!BZ40/100)*ROUND((Source!AF40*Source!AV40)*Source!I40, 2), 2)</f>
        <v>1469992.22</v>
      </c>
      <c r="R80">
        <f>Source!X40</f>
        <v>1469992.22</v>
      </c>
      <c r="S80">
        <f>ROUND((Source!CA40/100)*ROUND((Source!AF40*Source!AV40)*Source!I40, 2), 2)</f>
        <v>209998.89</v>
      </c>
      <c r="T80">
        <f>Source!Y40</f>
        <v>209998.89</v>
      </c>
      <c r="U80">
        <f>ROUND((175/100)*ROUND((Source!AE40*Source!AV40)*Source!I40, 2), 2)</f>
        <v>0</v>
      </c>
      <c r="V80">
        <f>ROUND((108/100)*ROUND(Source!CS40*Source!I40, 2), 2)</f>
        <v>0</v>
      </c>
    </row>
    <row r="81" spans="1:22" ht="14.5" x14ac:dyDescent="0.35">
      <c r="A81" s="18"/>
      <c r="B81" s="18"/>
      <c r="C81" s="18" t="s">
        <v>373</v>
      </c>
      <c r="D81" s="19"/>
      <c r="E81" s="8"/>
      <c r="F81" s="21">
        <f>Source!AO40</f>
        <v>135.94</v>
      </c>
      <c r="G81" s="20" t="str">
        <f>Source!DG40</f>
        <v>)*50</v>
      </c>
      <c r="H81" s="8">
        <f>Source!AV40</f>
        <v>1</v>
      </c>
      <c r="I81" s="8">
        <f>IF(Source!BA40&lt;&gt; 0, Source!BA40, 1)</f>
        <v>1</v>
      </c>
      <c r="J81" s="21">
        <f>Source!S40</f>
        <v>2099988.89</v>
      </c>
      <c r="K81" s="21"/>
    </row>
    <row r="82" spans="1:22" ht="14.5" x14ac:dyDescent="0.35">
      <c r="A82" s="18"/>
      <c r="B82" s="18"/>
      <c r="C82" s="18" t="s">
        <v>378</v>
      </c>
      <c r="D82" s="19"/>
      <c r="E82" s="8"/>
      <c r="F82" s="21">
        <f>Source!AL40</f>
        <v>136.5</v>
      </c>
      <c r="G82" s="20" t="str">
        <f>Source!DD40</f>
        <v>)*50</v>
      </c>
      <c r="H82" s="8">
        <f>Source!AW40</f>
        <v>1</v>
      </c>
      <c r="I82" s="8">
        <f>IF(Source!BC40&lt;&gt; 0, Source!BC40, 1)</f>
        <v>1</v>
      </c>
      <c r="J82" s="21">
        <f>Source!P40</f>
        <v>2108639.7200000002</v>
      </c>
      <c r="K82" s="21"/>
    </row>
    <row r="83" spans="1:22" ht="14.5" x14ac:dyDescent="0.35">
      <c r="A83" s="18"/>
      <c r="B83" s="18"/>
      <c r="C83" s="18" t="s">
        <v>374</v>
      </c>
      <c r="D83" s="19" t="s">
        <v>372</v>
      </c>
      <c r="E83" s="8">
        <f>Source!AT40</f>
        <v>70</v>
      </c>
      <c r="F83" s="21"/>
      <c r="G83" s="20"/>
      <c r="H83" s="8"/>
      <c r="I83" s="8"/>
      <c r="J83" s="21">
        <f>SUM(R80:R82)</f>
        <v>1469992.22</v>
      </c>
      <c r="K83" s="21"/>
    </row>
    <row r="84" spans="1:22" ht="14.5" x14ac:dyDescent="0.35">
      <c r="A84" s="18"/>
      <c r="B84" s="18"/>
      <c r="C84" s="18" t="s">
        <v>375</v>
      </c>
      <c r="D84" s="19" t="s">
        <v>372</v>
      </c>
      <c r="E84" s="8">
        <f>Source!AU40</f>
        <v>10</v>
      </c>
      <c r="F84" s="21"/>
      <c r="G84" s="20"/>
      <c r="H84" s="8"/>
      <c r="I84" s="8"/>
      <c r="J84" s="21">
        <f>SUM(T80:T83)</f>
        <v>209998.89</v>
      </c>
      <c r="K84" s="21"/>
    </row>
    <row r="85" spans="1:22" ht="14.5" x14ac:dyDescent="0.35">
      <c r="A85" s="18"/>
      <c r="B85" s="18"/>
      <c r="C85" s="18" t="s">
        <v>376</v>
      </c>
      <c r="D85" s="19" t="s">
        <v>377</v>
      </c>
      <c r="E85" s="8">
        <f>Source!AQ40</f>
        <v>0.3</v>
      </c>
      <c r="F85" s="21"/>
      <c r="G85" s="20" t="str">
        <f>Source!DI40</f>
        <v>)*50</v>
      </c>
      <c r="H85" s="8">
        <f>Source!AV40</f>
        <v>1</v>
      </c>
      <c r="I85" s="8"/>
      <c r="J85" s="21"/>
      <c r="K85" s="21">
        <f>Source!U40</f>
        <v>4634.3729999999996</v>
      </c>
    </row>
    <row r="86" spans="1:22" ht="14" x14ac:dyDescent="0.3">
      <c r="A86" s="25"/>
      <c r="B86" s="25"/>
      <c r="C86" s="25"/>
      <c r="D86" s="25"/>
      <c r="E86" s="25"/>
      <c r="F86" s="25"/>
      <c r="G86" s="25"/>
      <c r="H86" s="25"/>
      <c r="I86" s="52">
        <f>J81+J82+J83+J84</f>
        <v>5888619.7199999997</v>
      </c>
      <c r="J86" s="52"/>
      <c r="K86" s="26">
        <f>IF(Source!I40&lt;&gt;0, ROUND(I86/Source!I40, 2), 0)</f>
        <v>19059.599999999999</v>
      </c>
      <c r="P86" s="23">
        <f>I86</f>
        <v>5888619.7199999997</v>
      </c>
    </row>
    <row r="87" spans="1:22" ht="42" x14ac:dyDescent="0.35">
      <c r="A87" s="18">
        <v>9</v>
      </c>
      <c r="B87" s="18" t="str">
        <f>Source!F41</f>
        <v>5.3-1102-13-3/1</v>
      </c>
      <c r="C87" s="18" t="str">
        <f>Source!G41</f>
        <v>Посыпка противогололедными реагентами дорожных покрытий средствами малой механизации</v>
      </c>
      <c r="D87" s="19" t="str">
        <f>Source!H41</f>
        <v>1000 м2</v>
      </c>
      <c r="E87" s="8">
        <f>Source!I41</f>
        <v>123.58328</v>
      </c>
      <c r="F87" s="21"/>
      <c r="G87" s="20"/>
      <c r="H87" s="8"/>
      <c r="I87" s="8"/>
      <c r="J87" s="21"/>
      <c r="K87" s="21"/>
      <c r="Q87">
        <f>ROUND((Source!BZ41/100)*ROUND((Source!AF41*Source!AV41)*Source!I41, 2), 2)</f>
        <v>39188.26</v>
      </c>
      <c r="R87">
        <f>Source!X41</f>
        <v>39188.26</v>
      </c>
      <c r="S87">
        <f>ROUND((Source!CA41/100)*ROUND((Source!AF41*Source!AV41)*Source!I41, 2), 2)</f>
        <v>5598.32</v>
      </c>
      <c r="T87">
        <f>Source!Y41</f>
        <v>5598.32</v>
      </c>
      <c r="U87">
        <f>ROUND((175/100)*ROUND((Source!AE41*Source!AV41)*Source!I41, 2), 2)</f>
        <v>725696.48</v>
      </c>
      <c r="V87">
        <f>ROUND((108/100)*ROUND(Source!CS41*Source!I41, 2), 2)</f>
        <v>447858.4</v>
      </c>
    </row>
    <row r="88" spans="1:22" ht="14.5" x14ac:dyDescent="0.35">
      <c r="A88" s="18"/>
      <c r="B88" s="18"/>
      <c r="C88" s="18" t="s">
        <v>373</v>
      </c>
      <c r="D88" s="19"/>
      <c r="E88" s="8"/>
      <c r="F88" s="21">
        <f>Source!AO41</f>
        <v>9.06</v>
      </c>
      <c r="G88" s="20" t="str">
        <f>Source!DG41</f>
        <v>)*50</v>
      </c>
      <c r="H88" s="8">
        <f>Source!AV41</f>
        <v>1</v>
      </c>
      <c r="I88" s="8">
        <f>IF(Source!BA41&lt;&gt; 0, Source!BA41, 1)</f>
        <v>1</v>
      </c>
      <c r="J88" s="21">
        <f>Source!S41</f>
        <v>55983.23</v>
      </c>
      <c r="K88" s="21"/>
    </row>
    <row r="89" spans="1:22" ht="14.5" x14ac:dyDescent="0.35">
      <c r="A89" s="18"/>
      <c r="B89" s="18"/>
      <c r="C89" s="18" t="s">
        <v>369</v>
      </c>
      <c r="D89" s="19"/>
      <c r="E89" s="8"/>
      <c r="F89" s="21">
        <f>Source!AM41</f>
        <v>159.06</v>
      </c>
      <c r="G89" s="20" t="str">
        <f>Source!DE41</f>
        <v>)*50</v>
      </c>
      <c r="H89" s="8">
        <f>Source!AV41</f>
        <v>1</v>
      </c>
      <c r="I89" s="8">
        <f>IF(Source!BB41&lt;&gt; 0, Source!BB41, 1)</f>
        <v>1</v>
      </c>
      <c r="J89" s="21">
        <f>Source!Q41</f>
        <v>982857.83</v>
      </c>
      <c r="K89" s="21"/>
    </row>
    <row r="90" spans="1:22" ht="14.5" x14ac:dyDescent="0.35">
      <c r="A90" s="18"/>
      <c r="B90" s="18"/>
      <c r="C90" s="18" t="s">
        <v>370</v>
      </c>
      <c r="D90" s="19"/>
      <c r="E90" s="8"/>
      <c r="F90" s="21">
        <f>Source!AN41</f>
        <v>67.11</v>
      </c>
      <c r="G90" s="20" t="str">
        <f>Source!DF41</f>
        <v>)*50</v>
      </c>
      <c r="H90" s="8">
        <f>Source!AV41</f>
        <v>1</v>
      </c>
      <c r="I90" s="8">
        <f>IF(Source!BS41&lt;&gt; 0, Source!BS41, 1)</f>
        <v>1</v>
      </c>
      <c r="J90" s="22">
        <f>Source!R41</f>
        <v>414683.7</v>
      </c>
      <c r="K90" s="21"/>
    </row>
    <row r="91" spans="1:22" ht="14.5" x14ac:dyDescent="0.35">
      <c r="A91" s="18"/>
      <c r="B91" s="18"/>
      <c r="C91" s="18" t="s">
        <v>378</v>
      </c>
      <c r="D91" s="19"/>
      <c r="E91" s="8"/>
      <c r="F91" s="21">
        <f>Source!AL41</f>
        <v>1365</v>
      </c>
      <c r="G91" s="20" t="str">
        <f>Source!DD41</f>
        <v>)*50</v>
      </c>
      <c r="H91" s="8">
        <f>Source!AW41</f>
        <v>1</v>
      </c>
      <c r="I91" s="8">
        <f>IF(Source!BC41&lt;&gt; 0, Source!BC41, 1)</f>
        <v>1</v>
      </c>
      <c r="J91" s="21">
        <f>Source!P41</f>
        <v>8434558.8599999994</v>
      </c>
      <c r="K91" s="21"/>
    </row>
    <row r="92" spans="1:22" ht="14.5" x14ac:dyDescent="0.35">
      <c r="A92" s="18"/>
      <c r="B92" s="18"/>
      <c r="C92" s="18" t="s">
        <v>374</v>
      </c>
      <c r="D92" s="19" t="s">
        <v>372</v>
      </c>
      <c r="E92" s="8">
        <f>Source!AT41</f>
        <v>70</v>
      </c>
      <c r="F92" s="21"/>
      <c r="G92" s="20"/>
      <c r="H92" s="8"/>
      <c r="I92" s="8"/>
      <c r="J92" s="21">
        <f>SUM(R87:R91)</f>
        <v>39188.26</v>
      </c>
      <c r="K92" s="21"/>
    </row>
    <row r="93" spans="1:22" ht="14.5" x14ac:dyDescent="0.35">
      <c r="A93" s="18"/>
      <c r="B93" s="18"/>
      <c r="C93" s="18" t="s">
        <v>375</v>
      </c>
      <c r="D93" s="19" t="s">
        <v>372</v>
      </c>
      <c r="E93" s="8">
        <f>Source!AU41</f>
        <v>10</v>
      </c>
      <c r="F93" s="21"/>
      <c r="G93" s="20"/>
      <c r="H93" s="8"/>
      <c r="I93" s="8"/>
      <c r="J93" s="21">
        <f>SUM(T87:T92)</f>
        <v>5598.32</v>
      </c>
      <c r="K93" s="21"/>
    </row>
    <row r="94" spans="1:22" ht="14.5" x14ac:dyDescent="0.35">
      <c r="A94" s="18"/>
      <c r="B94" s="18"/>
      <c r="C94" s="18" t="s">
        <v>371</v>
      </c>
      <c r="D94" s="19" t="s">
        <v>372</v>
      </c>
      <c r="E94" s="8">
        <f>108</f>
        <v>108</v>
      </c>
      <c r="F94" s="21"/>
      <c r="G94" s="20"/>
      <c r="H94" s="8"/>
      <c r="I94" s="8"/>
      <c r="J94" s="21">
        <f>SUM(V87:V93)</f>
        <v>447858.4</v>
      </c>
      <c r="K94" s="21"/>
    </row>
    <row r="95" spans="1:22" ht="14.5" x14ac:dyDescent="0.35">
      <c r="A95" s="18"/>
      <c r="B95" s="18"/>
      <c r="C95" s="18" t="s">
        <v>376</v>
      </c>
      <c r="D95" s="19" t="s">
        <v>377</v>
      </c>
      <c r="E95" s="8">
        <f>Source!AQ41</f>
        <v>0.02</v>
      </c>
      <c r="F95" s="21"/>
      <c r="G95" s="20" t="str">
        <f>Source!DI41</f>
        <v>)*50</v>
      </c>
      <c r="H95" s="8">
        <f>Source!AV41</f>
        <v>1</v>
      </c>
      <c r="I95" s="8"/>
      <c r="J95" s="21"/>
      <c r="K95" s="21">
        <f>Source!U41</f>
        <v>123.58328</v>
      </c>
    </row>
    <row r="96" spans="1:22" ht="14" x14ac:dyDescent="0.3">
      <c r="A96" s="25"/>
      <c r="B96" s="25"/>
      <c r="C96" s="25"/>
      <c r="D96" s="25"/>
      <c r="E96" s="25"/>
      <c r="F96" s="25"/>
      <c r="G96" s="25"/>
      <c r="H96" s="25"/>
      <c r="I96" s="52">
        <f>J88+J89+J91+J92+J93+J94</f>
        <v>9966044.9000000004</v>
      </c>
      <c r="J96" s="52"/>
      <c r="K96" s="26">
        <f>IF(Source!I41&lt;&gt;0, ROUND(I96/Source!I41, 2), 0)</f>
        <v>80642.34</v>
      </c>
      <c r="P96" s="23">
        <f>I96</f>
        <v>9966044.9000000004</v>
      </c>
    </row>
    <row r="97" spans="1:22" ht="28" x14ac:dyDescent="0.35">
      <c r="A97" s="18">
        <v>10</v>
      </c>
      <c r="B97" s="18" t="str">
        <f>Source!F42</f>
        <v>5.3-1102-9-1/1</v>
      </c>
      <c r="C97" s="18" t="str">
        <f>Source!G42</f>
        <v>Колка льда на обледеневших покрытиях вручную</v>
      </c>
      <c r="D97" s="19" t="str">
        <f>Source!H42</f>
        <v>100 м2</v>
      </c>
      <c r="E97" s="8">
        <f>Source!I42</f>
        <v>15.447900000000001</v>
      </c>
      <c r="F97" s="21"/>
      <c r="G97" s="20"/>
      <c r="H97" s="8"/>
      <c r="I97" s="8"/>
      <c r="J97" s="21"/>
      <c r="K97" s="21"/>
      <c r="Q97">
        <f>ROUND((Source!BZ42/100)*ROUND((Source!AF42*Source!AV42)*Source!I42, 2), 2)</f>
        <v>236182.63</v>
      </c>
      <c r="R97">
        <f>Source!X42</f>
        <v>236182.63</v>
      </c>
      <c r="S97">
        <f>ROUND((Source!CA42/100)*ROUND((Source!AF42*Source!AV42)*Source!I42, 2), 2)</f>
        <v>33740.379999999997</v>
      </c>
      <c r="T97">
        <f>Source!Y42</f>
        <v>33740.379999999997</v>
      </c>
      <c r="U97">
        <f>ROUND((175/100)*ROUND((Source!AE42*Source!AV42)*Source!I42, 2), 2)</f>
        <v>0</v>
      </c>
      <c r="V97">
        <f>ROUND((108/100)*ROUND(Source!CS42*Source!I42, 2), 2)</f>
        <v>0</v>
      </c>
    </row>
    <row r="98" spans="1:22" ht="14.5" x14ac:dyDescent="0.35">
      <c r="A98" s="18"/>
      <c r="B98" s="18"/>
      <c r="C98" s="18" t="s">
        <v>373</v>
      </c>
      <c r="D98" s="19"/>
      <c r="E98" s="8"/>
      <c r="F98" s="21">
        <f>Source!AO42</f>
        <v>1092.07</v>
      </c>
      <c r="G98" s="20" t="str">
        <f>Source!DG42</f>
        <v>)*20</v>
      </c>
      <c r="H98" s="8">
        <f>Source!AV42</f>
        <v>1</v>
      </c>
      <c r="I98" s="8">
        <f>IF(Source!BA42&lt;&gt; 0, Source!BA42, 1)</f>
        <v>1</v>
      </c>
      <c r="J98" s="21">
        <f>Source!S42</f>
        <v>337403.76</v>
      </c>
      <c r="K98" s="21"/>
    </row>
    <row r="99" spans="1:22" ht="14.5" x14ac:dyDescent="0.35">
      <c r="A99" s="18"/>
      <c r="B99" s="18"/>
      <c r="C99" s="18" t="s">
        <v>374</v>
      </c>
      <c r="D99" s="19" t="s">
        <v>372</v>
      </c>
      <c r="E99" s="8">
        <f>Source!AT42</f>
        <v>70</v>
      </c>
      <c r="F99" s="21"/>
      <c r="G99" s="20"/>
      <c r="H99" s="8"/>
      <c r="I99" s="8"/>
      <c r="J99" s="21">
        <f>SUM(R97:R98)</f>
        <v>236182.63</v>
      </c>
      <c r="K99" s="21"/>
    </row>
    <row r="100" spans="1:22" ht="14.5" x14ac:dyDescent="0.35">
      <c r="A100" s="18"/>
      <c r="B100" s="18"/>
      <c r="C100" s="18" t="s">
        <v>375</v>
      </c>
      <c r="D100" s="19" t="s">
        <v>372</v>
      </c>
      <c r="E100" s="8">
        <f>Source!AU42</f>
        <v>10</v>
      </c>
      <c r="F100" s="21"/>
      <c r="G100" s="20"/>
      <c r="H100" s="8"/>
      <c r="I100" s="8"/>
      <c r="J100" s="21">
        <f>SUM(T97:T99)</f>
        <v>33740.379999999997</v>
      </c>
      <c r="K100" s="21"/>
    </row>
    <row r="101" spans="1:22" ht="14.5" x14ac:dyDescent="0.35">
      <c r="A101" s="18"/>
      <c r="B101" s="18"/>
      <c r="C101" s="18" t="s">
        <v>376</v>
      </c>
      <c r="D101" s="19" t="s">
        <v>377</v>
      </c>
      <c r="E101" s="8">
        <f>Source!AQ42</f>
        <v>2.41</v>
      </c>
      <c r="F101" s="21"/>
      <c r="G101" s="20" t="str">
        <f>Source!DI42</f>
        <v>)*20</v>
      </c>
      <c r="H101" s="8">
        <f>Source!AV42</f>
        <v>1</v>
      </c>
      <c r="I101" s="8"/>
      <c r="J101" s="21"/>
      <c r="K101" s="21">
        <f>Source!U42</f>
        <v>744.58878000000004</v>
      </c>
    </row>
    <row r="102" spans="1:22" ht="14" x14ac:dyDescent="0.3">
      <c r="A102" s="25"/>
      <c r="B102" s="25"/>
      <c r="C102" s="25"/>
      <c r="D102" s="25"/>
      <c r="E102" s="25"/>
      <c r="F102" s="25"/>
      <c r="G102" s="25"/>
      <c r="H102" s="25"/>
      <c r="I102" s="52">
        <f>J98+J99+J100</f>
        <v>607326.77</v>
      </c>
      <c r="J102" s="52"/>
      <c r="K102" s="26">
        <f>IF(Source!I42&lt;&gt;0, ROUND(I102/Source!I42, 2), 0)</f>
        <v>39314.519999999997</v>
      </c>
      <c r="P102" s="23">
        <f>I102</f>
        <v>607326.77</v>
      </c>
    </row>
    <row r="103" spans="1:22" ht="70" x14ac:dyDescent="0.35">
      <c r="A103" s="18">
        <v>11</v>
      </c>
      <c r="B103" s="18" t="str">
        <f>Source!F43</f>
        <v>5.3-1102-25-1/1</v>
      </c>
      <c r="C103" s="18" t="str">
        <f>Source!G43</f>
        <v>Сбор и перемещение снега и скола к месту временного размещения механизированным способом, объем ковша погрузчика до 0,5 м3 - перемещение на 250 м</v>
      </c>
      <c r="D103" s="19" t="str">
        <f>Source!H43</f>
        <v>м3</v>
      </c>
      <c r="E103" s="8">
        <f>Source!I43</f>
        <v>27806.240000000002</v>
      </c>
      <c r="F103" s="21"/>
      <c r="G103" s="20"/>
      <c r="H103" s="8"/>
      <c r="I103" s="8"/>
      <c r="J103" s="21"/>
      <c r="K103" s="21"/>
      <c r="Q103">
        <f>ROUND((Source!BZ43/100)*ROUND((Source!AF43*Source!AV43)*Source!I43, 2), 2)</f>
        <v>3263395.94</v>
      </c>
      <c r="R103">
        <f>Source!X43</f>
        <v>3263395.94</v>
      </c>
      <c r="S103">
        <f>ROUND((Source!CA43/100)*ROUND((Source!AF43*Source!AV43)*Source!I43, 2), 2)</f>
        <v>466199.42</v>
      </c>
      <c r="T103">
        <f>Source!Y43</f>
        <v>466199.42</v>
      </c>
      <c r="U103">
        <f>ROUND((175/100)*ROUND((Source!AE43*Source!AV43)*Source!I43, 2), 2)</f>
        <v>17019643.379999999</v>
      </c>
      <c r="V103">
        <f>ROUND((108/100)*ROUND(Source!CS43*Source!I43, 2), 2)</f>
        <v>10503551.34</v>
      </c>
    </row>
    <row r="104" spans="1:22" ht="14.5" x14ac:dyDescent="0.35">
      <c r="A104" s="18"/>
      <c r="B104" s="18"/>
      <c r="C104" s="18" t="s">
        <v>373</v>
      </c>
      <c r="D104" s="19"/>
      <c r="E104" s="8"/>
      <c r="F104" s="21">
        <f>Source!AO43</f>
        <v>167.66</v>
      </c>
      <c r="G104" s="20" t="str">
        <f>Source!DG43</f>
        <v/>
      </c>
      <c r="H104" s="8">
        <f>Source!AV43</f>
        <v>1</v>
      </c>
      <c r="I104" s="8">
        <f>IF(Source!BA43&lt;&gt; 0, Source!BA43, 1)</f>
        <v>1</v>
      </c>
      <c r="J104" s="21">
        <f>Source!S43</f>
        <v>4661994.2</v>
      </c>
      <c r="K104" s="21"/>
    </row>
    <row r="105" spans="1:22" ht="14.5" x14ac:dyDescent="0.35">
      <c r="A105" s="18"/>
      <c r="B105" s="18"/>
      <c r="C105" s="18" t="s">
        <v>369</v>
      </c>
      <c r="D105" s="19"/>
      <c r="E105" s="8"/>
      <c r="F105" s="21">
        <f>Source!AM43</f>
        <v>713</v>
      </c>
      <c r="G105" s="20" t="str">
        <f>Source!DE43</f>
        <v/>
      </c>
      <c r="H105" s="8">
        <f>Source!AV43</f>
        <v>1</v>
      </c>
      <c r="I105" s="8">
        <f>IF(Source!BB43&lt;&gt; 0, Source!BB43, 1)</f>
        <v>1</v>
      </c>
      <c r="J105" s="21">
        <f>Source!Q43</f>
        <v>19825849.120000001</v>
      </c>
      <c r="K105" s="21"/>
    </row>
    <row r="106" spans="1:22" ht="14.5" x14ac:dyDescent="0.35">
      <c r="A106" s="18"/>
      <c r="B106" s="18"/>
      <c r="C106" s="18" t="s">
        <v>370</v>
      </c>
      <c r="D106" s="19"/>
      <c r="E106" s="8"/>
      <c r="F106" s="21">
        <f>Source!AN43</f>
        <v>349.76</v>
      </c>
      <c r="G106" s="20" t="str">
        <f>Source!DF43</f>
        <v/>
      </c>
      <c r="H106" s="8">
        <f>Source!AV43</f>
        <v>1</v>
      </c>
      <c r="I106" s="8">
        <f>IF(Source!BS43&lt;&gt; 0, Source!BS43, 1)</f>
        <v>1</v>
      </c>
      <c r="J106" s="22">
        <f>Source!R43</f>
        <v>9725510.5</v>
      </c>
      <c r="K106" s="21"/>
    </row>
    <row r="107" spans="1:22" ht="14.5" x14ac:dyDescent="0.35">
      <c r="A107" s="18"/>
      <c r="B107" s="18"/>
      <c r="C107" s="18" t="s">
        <v>374</v>
      </c>
      <c r="D107" s="19" t="s">
        <v>372</v>
      </c>
      <c r="E107" s="8">
        <f>Source!AT43</f>
        <v>70</v>
      </c>
      <c r="F107" s="21"/>
      <c r="G107" s="20"/>
      <c r="H107" s="8"/>
      <c r="I107" s="8"/>
      <c r="J107" s="21">
        <f>SUM(R103:R106)</f>
        <v>3263395.94</v>
      </c>
      <c r="K107" s="21"/>
    </row>
    <row r="108" spans="1:22" ht="14.5" x14ac:dyDescent="0.35">
      <c r="A108" s="18"/>
      <c r="B108" s="18"/>
      <c r="C108" s="18" t="s">
        <v>375</v>
      </c>
      <c r="D108" s="19" t="s">
        <v>372</v>
      </c>
      <c r="E108" s="8">
        <f>Source!AU43</f>
        <v>10</v>
      </c>
      <c r="F108" s="21"/>
      <c r="G108" s="20"/>
      <c r="H108" s="8"/>
      <c r="I108" s="8"/>
      <c r="J108" s="21">
        <f>SUM(T103:T107)</f>
        <v>466199.42</v>
      </c>
      <c r="K108" s="21"/>
    </row>
    <row r="109" spans="1:22" ht="14.5" x14ac:dyDescent="0.35">
      <c r="A109" s="18"/>
      <c r="B109" s="18"/>
      <c r="C109" s="18" t="s">
        <v>371</v>
      </c>
      <c r="D109" s="19" t="s">
        <v>372</v>
      </c>
      <c r="E109" s="8">
        <f>108</f>
        <v>108</v>
      </c>
      <c r="F109" s="21"/>
      <c r="G109" s="20"/>
      <c r="H109" s="8"/>
      <c r="I109" s="8"/>
      <c r="J109" s="21">
        <f>SUM(V103:V108)</f>
        <v>10503551.34</v>
      </c>
      <c r="K109" s="21"/>
    </row>
    <row r="110" spans="1:22" ht="14.5" x14ac:dyDescent="0.35">
      <c r="A110" s="18"/>
      <c r="B110" s="18"/>
      <c r="C110" s="18" t="s">
        <v>376</v>
      </c>
      <c r="D110" s="19" t="s">
        <v>377</v>
      </c>
      <c r="E110" s="8">
        <f>Source!AQ43</f>
        <v>0.37</v>
      </c>
      <c r="F110" s="21"/>
      <c r="G110" s="20" t="str">
        <f>Source!DI43</f>
        <v/>
      </c>
      <c r="H110" s="8">
        <f>Source!AV43</f>
        <v>1</v>
      </c>
      <c r="I110" s="8"/>
      <c r="J110" s="21"/>
      <c r="K110" s="21">
        <f>Source!U43</f>
        <v>10288.308800000001</v>
      </c>
    </row>
    <row r="111" spans="1:22" ht="14" x14ac:dyDescent="0.3">
      <c r="A111" s="25"/>
      <c r="B111" s="25"/>
      <c r="C111" s="25"/>
      <c r="D111" s="25"/>
      <c r="E111" s="25"/>
      <c r="F111" s="25"/>
      <c r="G111" s="25"/>
      <c r="H111" s="25"/>
      <c r="I111" s="52">
        <f>J104+J105+J107+J108+J109</f>
        <v>38720990.020000003</v>
      </c>
      <c r="J111" s="52"/>
      <c r="K111" s="26">
        <f>IF(Source!I43&lt;&gt;0, ROUND(I111/Source!I43, 2), 0)</f>
        <v>1392.53</v>
      </c>
      <c r="P111" s="23">
        <f>I111</f>
        <v>38720990.020000003</v>
      </c>
    </row>
    <row r="112" spans="1:22" ht="28" x14ac:dyDescent="0.35">
      <c r="A112" s="18">
        <v>12</v>
      </c>
      <c r="B112" s="18" t="str">
        <f>Source!F44</f>
        <v>5.3-1102-14-1/1</v>
      </c>
      <c r="C112" s="18" t="str">
        <f>Source!G44</f>
        <v>Погрузка снега средствами малой механизации</v>
      </c>
      <c r="D112" s="19" t="str">
        <f>Source!H44</f>
        <v>м3</v>
      </c>
      <c r="E112" s="8">
        <f>Source!I44</f>
        <v>27806.240000000002</v>
      </c>
      <c r="F112" s="21"/>
      <c r="G112" s="20"/>
      <c r="H112" s="8"/>
      <c r="I112" s="8"/>
      <c r="J112" s="21"/>
      <c r="K112" s="21"/>
      <c r="Q112">
        <f>ROUND((Source!BZ44/100)*ROUND((Source!AF44*Source!AV44)*Source!I44, 2), 2)</f>
        <v>0</v>
      </c>
      <c r="R112">
        <f>Source!X44</f>
        <v>0</v>
      </c>
      <c r="S112">
        <f>ROUND((Source!CA44/100)*ROUND((Source!AF44*Source!AV44)*Source!I44, 2), 2)</f>
        <v>0</v>
      </c>
      <c r="T112">
        <f>Source!Y44</f>
        <v>0</v>
      </c>
      <c r="U112">
        <f>ROUND((175/100)*ROUND((Source!AE44*Source!AV44)*Source!I44, 2), 2)</f>
        <v>4505027.9800000004</v>
      </c>
      <c r="V112">
        <f>ROUND((108/100)*ROUND(Source!CS44*Source!I44, 2), 2)</f>
        <v>2780245.84</v>
      </c>
    </row>
    <row r="113" spans="1:22" ht="14.5" x14ac:dyDescent="0.35">
      <c r="A113" s="18"/>
      <c r="B113" s="18"/>
      <c r="C113" s="18" t="s">
        <v>369</v>
      </c>
      <c r="D113" s="19"/>
      <c r="E113" s="8"/>
      <c r="F113" s="21">
        <f>Source!AM44</f>
        <v>188.74</v>
      </c>
      <c r="G113" s="20" t="str">
        <f>Source!DE44</f>
        <v/>
      </c>
      <c r="H113" s="8">
        <f>Source!AV44</f>
        <v>1</v>
      </c>
      <c r="I113" s="8">
        <f>IF(Source!BB44&lt;&gt; 0, Source!BB44, 1)</f>
        <v>1</v>
      </c>
      <c r="J113" s="21">
        <f>Source!Q44</f>
        <v>5248149.74</v>
      </c>
      <c r="K113" s="21"/>
    </row>
    <row r="114" spans="1:22" ht="14.5" x14ac:dyDescent="0.35">
      <c r="A114" s="18"/>
      <c r="B114" s="18"/>
      <c r="C114" s="18" t="s">
        <v>370</v>
      </c>
      <c r="D114" s="19"/>
      <c r="E114" s="8"/>
      <c r="F114" s="21">
        <f>Source!AN44</f>
        <v>92.58</v>
      </c>
      <c r="G114" s="20" t="str">
        <f>Source!DF44</f>
        <v/>
      </c>
      <c r="H114" s="8">
        <f>Source!AV44</f>
        <v>1</v>
      </c>
      <c r="I114" s="8">
        <f>IF(Source!BS44&lt;&gt; 0, Source!BS44, 1)</f>
        <v>1</v>
      </c>
      <c r="J114" s="22">
        <f>Source!R44</f>
        <v>2574301.7000000002</v>
      </c>
      <c r="K114" s="21"/>
    </row>
    <row r="115" spans="1:22" ht="14.5" x14ac:dyDescent="0.35">
      <c r="A115" s="18"/>
      <c r="B115" s="18"/>
      <c r="C115" s="18" t="s">
        <v>371</v>
      </c>
      <c r="D115" s="19" t="s">
        <v>372</v>
      </c>
      <c r="E115" s="8">
        <f>108</f>
        <v>108</v>
      </c>
      <c r="F115" s="21"/>
      <c r="G115" s="20"/>
      <c r="H115" s="8"/>
      <c r="I115" s="8"/>
      <c r="J115" s="21">
        <f>SUM(V112:V114)</f>
        <v>2780245.84</v>
      </c>
      <c r="K115" s="21"/>
    </row>
    <row r="116" spans="1:22" ht="14" x14ac:dyDescent="0.3">
      <c r="A116" s="25"/>
      <c r="B116" s="25"/>
      <c r="C116" s="25"/>
      <c r="D116" s="25"/>
      <c r="E116" s="25"/>
      <c r="F116" s="25"/>
      <c r="G116" s="25"/>
      <c r="H116" s="25"/>
      <c r="I116" s="52">
        <f>J113+J115</f>
        <v>8028395.5800000001</v>
      </c>
      <c r="J116" s="52"/>
      <c r="K116" s="26">
        <f>IF(Source!I44&lt;&gt;0, ROUND(I116/Source!I44, 2), 0)</f>
        <v>288.73</v>
      </c>
      <c r="P116" s="23">
        <f>I116</f>
        <v>8028395.5800000001</v>
      </c>
    </row>
    <row r="117" spans="1:22" ht="28" x14ac:dyDescent="0.35">
      <c r="A117" s="18">
        <v>13</v>
      </c>
      <c r="B117" s="18" t="str">
        <f>Source!F45</f>
        <v>5.3-1102-4-1/1</v>
      </c>
      <c r="C117" s="18" t="str">
        <f>Source!G45</f>
        <v>Очистка скамеек, садовых диванов, урн, цветочниц, боллардов от снега вручную</v>
      </c>
      <c r="D117" s="19" t="str">
        <f>Source!H45</f>
        <v>100 м2</v>
      </c>
      <c r="E117" s="8">
        <f>Source!I45</f>
        <v>1.5824</v>
      </c>
      <c r="F117" s="21"/>
      <c r="G117" s="20"/>
      <c r="H117" s="8"/>
      <c r="I117" s="8"/>
      <c r="J117" s="21"/>
      <c r="K117" s="21"/>
      <c r="Q117">
        <f>ROUND((Source!BZ45/100)*ROUND((Source!AF45*Source!AV45)*Source!I45, 2), 2)</f>
        <v>77573.710000000006</v>
      </c>
      <c r="R117">
        <f>Source!X45</f>
        <v>77573.710000000006</v>
      </c>
      <c r="S117">
        <f>ROUND((Source!CA45/100)*ROUND((Source!AF45*Source!AV45)*Source!I45, 2), 2)</f>
        <v>11081.96</v>
      </c>
      <c r="T117">
        <f>Source!Y45</f>
        <v>11081.96</v>
      </c>
      <c r="U117">
        <f>ROUND((175/100)*ROUND((Source!AE45*Source!AV45)*Source!I45, 2), 2)</f>
        <v>0</v>
      </c>
      <c r="V117">
        <f>ROUND((108/100)*ROUND(Source!CS45*Source!I45, 2), 2)</f>
        <v>0</v>
      </c>
    </row>
    <row r="118" spans="1:22" ht="14.5" x14ac:dyDescent="0.35">
      <c r="A118" s="18"/>
      <c r="B118" s="18"/>
      <c r="C118" s="18" t="s">
        <v>373</v>
      </c>
      <c r="D118" s="19"/>
      <c r="E118" s="8"/>
      <c r="F118" s="21">
        <f>Source!AO45</f>
        <v>1273.32</v>
      </c>
      <c r="G118" s="20" t="str">
        <f>Source!DG45</f>
        <v>)*55</v>
      </c>
      <c r="H118" s="8">
        <f>Source!AV45</f>
        <v>1</v>
      </c>
      <c r="I118" s="8">
        <f>IF(Source!BA45&lt;&gt; 0, Source!BA45, 1)</f>
        <v>1</v>
      </c>
      <c r="J118" s="21">
        <f>Source!S45</f>
        <v>110819.59</v>
      </c>
      <c r="K118" s="21"/>
    </row>
    <row r="119" spans="1:22" ht="14.5" x14ac:dyDescent="0.35">
      <c r="A119" s="18"/>
      <c r="B119" s="18"/>
      <c r="C119" s="18" t="s">
        <v>374</v>
      </c>
      <c r="D119" s="19" t="s">
        <v>372</v>
      </c>
      <c r="E119" s="8">
        <f>Source!AT45</f>
        <v>70</v>
      </c>
      <c r="F119" s="21"/>
      <c r="G119" s="20"/>
      <c r="H119" s="8"/>
      <c r="I119" s="8"/>
      <c r="J119" s="21">
        <f>SUM(R117:R118)</f>
        <v>77573.710000000006</v>
      </c>
      <c r="K119" s="21"/>
    </row>
    <row r="120" spans="1:22" ht="14.5" x14ac:dyDescent="0.35">
      <c r="A120" s="18"/>
      <c r="B120" s="18"/>
      <c r="C120" s="18" t="s">
        <v>375</v>
      </c>
      <c r="D120" s="19" t="s">
        <v>372</v>
      </c>
      <c r="E120" s="8">
        <f>Source!AU45</f>
        <v>10</v>
      </c>
      <c r="F120" s="21"/>
      <c r="G120" s="20"/>
      <c r="H120" s="8"/>
      <c r="I120" s="8"/>
      <c r="J120" s="21">
        <f>SUM(T117:T119)</f>
        <v>11081.96</v>
      </c>
      <c r="K120" s="21"/>
    </row>
    <row r="121" spans="1:22" ht="14.5" x14ac:dyDescent="0.35">
      <c r="A121" s="18"/>
      <c r="B121" s="18"/>
      <c r="C121" s="18" t="s">
        <v>376</v>
      </c>
      <c r="D121" s="19" t="s">
        <v>377</v>
      </c>
      <c r="E121" s="8">
        <f>Source!AQ45</f>
        <v>2.81</v>
      </c>
      <c r="F121" s="21"/>
      <c r="G121" s="20" t="str">
        <f>Source!DI45</f>
        <v>)*55</v>
      </c>
      <c r="H121" s="8">
        <f>Source!AV45</f>
        <v>1</v>
      </c>
      <c r="I121" s="8"/>
      <c r="J121" s="21"/>
      <c r="K121" s="21">
        <f>Source!U45</f>
        <v>244.55992000000003</v>
      </c>
    </row>
    <row r="122" spans="1:22" ht="14" x14ac:dyDescent="0.3">
      <c r="A122" s="25"/>
      <c r="B122" s="25"/>
      <c r="C122" s="25"/>
      <c r="D122" s="25"/>
      <c r="E122" s="25"/>
      <c r="F122" s="25"/>
      <c r="G122" s="25"/>
      <c r="H122" s="25"/>
      <c r="I122" s="52">
        <f>J118+J119+J120</f>
        <v>199475.25999999998</v>
      </c>
      <c r="J122" s="52"/>
      <c r="K122" s="26">
        <f>IF(Source!I45&lt;&gt;0, ROUND(I122/Source!I45, 2), 0)</f>
        <v>126058.68</v>
      </c>
      <c r="P122" s="23">
        <f>I122</f>
        <v>199475.25999999998</v>
      </c>
    </row>
    <row r="123" spans="1:22" ht="42" x14ac:dyDescent="0.35">
      <c r="A123" s="18">
        <v>14</v>
      </c>
      <c r="B123" s="18" t="str">
        <f>Source!F46</f>
        <v>5.3-1101-12-1/1</v>
      </c>
      <c r="C123" s="18" t="str">
        <f>Source!G46</f>
        <v>Уход за урнами на придомовых и внутрибольничных территориях, очистка урн опрокидывающихся от мусора</v>
      </c>
      <c r="D123" s="19" t="str">
        <f>Source!H46</f>
        <v>100 шт.</v>
      </c>
      <c r="E123" s="8">
        <f>Source!I46</f>
        <v>1.27</v>
      </c>
      <c r="F123" s="21"/>
      <c r="G123" s="20"/>
      <c r="H123" s="8"/>
      <c r="I123" s="8"/>
      <c r="J123" s="21"/>
      <c r="K123" s="21"/>
      <c r="Q123">
        <f>ROUND((Source!BZ46/100)*ROUND((Source!AF46*Source!AV46)*Source!I46, 2), 2)</f>
        <v>156306.89000000001</v>
      </c>
      <c r="R123">
        <f>Source!X46</f>
        <v>156306.89000000001</v>
      </c>
      <c r="S123">
        <f>ROUND((Source!CA46/100)*ROUND((Source!AF46*Source!AV46)*Source!I46, 2), 2)</f>
        <v>22329.56</v>
      </c>
      <c r="T123">
        <f>Source!Y46</f>
        <v>22329.56</v>
      </c>
      <c r="U123">
        <f>ROUND((175/100)*ROUND((Source!AE46*Source!AV46)*Source!I46, 2), 2)</f>
        <v>0</v>
      </c>
      <c r="V123">
        <f>ROUND((108/100)*ROUND(Source!CS46*Source!I46, 2), 2)</f>
        <v>0</v>
      </c>
    </row>
    <row r="124" spans="1:22" ht="14.5" x14ac:dyDescent="0.35">
      <c r="A124" s="18"/>
      <c r="B124" s="18"/>
      <c r="C124" s="18" t="s">
        <v>373</v>
      </c>
      <c r="D124" s="19"/>
      <c r="E124" s="8"/>
      <c r="F124" s="21">
        <f>Source!AO46</f>
        <v>1092.07</v>
      </c>
      <c r="G124" s="20" t="str">
        <f>Source!DG46</f>
        <v>)*161</v>
      </c>
      <c r="H124" s="8">
        <f>Source!AV46</f>
        <v>1</v>
      </c>
      <c r="I124" s="8">
        <f>IF(Source!BA46&lt;&gt; 0, Source!BA46, 1)</f>
        <v>1</v>
      </c>
      <c r="J124" s="21">
        <f>Source!S46</f>
        <v>223295.55</v>
      </c>
      <c r="K124" s="21"/>
    </row>
    <row r="125" spans="1:22" ht="14.5" x14ac:dyDescent="0.35">
      <c r="A125" s="18"/>
      <c r="B125" s="18"/>
      <c r="C125" s="18" t="s">
        <v>378</v>
      </c>
      <c r="D125" s="19"/>
      <c r="E125" s="8"/>
      <c r="F125" s="21">
        <f>Source!AL46</f>
        <v>275</v>
      </c>
      <c r="G125" s="20" t="str">
        <f>Source!DD46</f>
        <v>)*161</v>
      </c>
      <c r="H125" s="8">
        <f>Source!AW46</f>
        <v>1</v>
      </c>
      <c r="I125" s="8">
        <f>IF(Source!BC46&lt;&gt; 0, Source!BC46, 1)</f>
        <v>1</v>
      </c>
      <c r="J125" s="21">
        <f>Source!P46</f>
        <v>56229.25</v>
      </c>
      <c r="K125" s="21"/>
    </row>
    <row r="126" spans="1:22" ht="14.5" x14ac:dyDescent="0.35">
      <c r="A126" s="18"/>
      <c r="B126" s="18"/>
      <c r="C126" s="18" t="s">
        <v>374</v>
      </c>
      <c r="D126" s="19" t="s">
        <v>372</v>
      </c>
      <c r="E126" s="8">
        <f>Source!AT46</f>
        <v>70</v>
      </c>
      <c r="F126" s="21"/>
      <c r="G126" s="20"/>
      <c r="H126" s="8"/>
      <c r="I126" s="8"/>
      <c r="J126" s="21">
        <f>SUM(R123:R125)</f>
        <v>156306.89000000001</v>
      </c>
      <c r="K126" s="21"/>
    </row>
    <row r="127" spans="1:22" ht="14.5" x14ac:dyDescent="0.35">
      <c r="A127" s="18"/>
      <c r="B127" s="18"/>
      <c r="C127" s="18" t="s">
        <v>375</v>
      </c>
      <c r="D127" s="19" t="s">
        <v>372</v>
      </c>
      <c r="E127" s="8">
        <f>Source!AU46</f>
        <v>10</v>
      </c>
      <c r="F127" s="21"/>
      <c r="G127" s="20"/>
      <c r="H127" s="8"/>
      <c r="I127" s="8"/>
      <c r="J127" s="21">
        <f>SUM(T123:T126)</f>
        <v>22329.56</v>
      </c>
      <c r="K127" s="21"/>
    </row>
    <row r="128" spans="1:22" ht="14.5" x14ac:dyDescent="0.35">
      <c r="A128" s="18"/>
      <c r="B128" s="18"/>
      <c r="C128" s="18" t="s">
        <v>376</v>
      </c>
      <c r="D128" s="19" t="s">
        <v>377</v>
      </c>
      <c r="E128" s="8">
        <f>Source!AQ46</f>
        <v>2.41</v>
      </c>
      <c r="F128" s="21"/>
      <c r="G128" s="20" t="str">
        <f>Source!DI46</f>
        <v>)*161</v>
      </c>
      <c r="H128" s="8">
        <f>Source!AV46</f>
        <v>1</v>
      </c>
      <c r="I128" s="8"/>
      <c r="J128" s="21"/>
      <c r="K128" s="21">
        <f>Source!U46</f>
        <v>492.77270000000004</v>
      </c>
    </row>
    <row r="129" spans="1:22" ht="14" x14ac:dyDescent="0.3">
      <c r="A129" s="25"/>
      <c r="B129" s="25"/>
      <c r="C129" s="25"/>
      <c r="D129" s="25"/>
      <c r="E129" s="25"/>
      <c r="F129" s="25"/>
      <c r="G129" s="25"/>
      <c r="H129" s="25"/>
      <c r="I129" s="52">
        <f>J124+J125+J126+J127</f>
        <v>458161.25</v>
      </c>
      <c r="J129" s="52"/>
      <c r="K129" s="26">
        <f>IF(Source!I46&lt;&gt;0, ROUND(I129/Source!I46, 2), 0)</f>
        <v>360756.89</v>
      </c>
      <c r="P129" s="23">
        <f>I129</f>
        <v>458161.25</v>
      </c>
    </row>
    <row r="130" spans="1:22" ht="42" x14ac:dyDescent="0.35">
      <c r="A130" s="18">
        <v>15</v>
      </c>
      <c r="B130" s="18" t="str">
        <f>Source!F47</f>
        <v>5.3-1101-12-3/1</v>
      </c>
      <c r="C130" s="18" t="str">
        <f>Source!G47</f>
        <v>Уход за урнами на придомовых и внутрибольничных территориях, промывка урн опрокидывающихся</v>
      </c>
      <c r="D130" s="19" t="str">
        <f>Source!H47</f>
        <v>100 шт.</v>
      </c>
      <c r="E130" s="8">
        <f>Source!I47</f>
        <v>1.27</v>
      </c>
      <c r="F130" s="21"/>
      <c r="G130" s="20"/>
      <c r="H130" s="8"/>
      <c r="I130" s="8"/>
      <c r="J130" s="21"/>
      <c r="K130" s="21"/>
      <c r="Q130">
        <f>ROUND((Source!BZ47/100)*ROUND((Source!AF47*Source!AV47)*Source!I47, 2), 2)</f>
        <v>25681.17</v>
      </c>
      <c r="R130">
        <f>Source!X47</f>
        <v>25681.17</v>
      </c>
      <c r="S130">
        <f>ROUND((Source!CA47/100)*ROUND((Source!AF47*Source!AV47)*Source!I47, 2), 2)</f>
        <v>3668.74</v>
      </c>
      <c r="T130">
        <f>Source!Y47</f>
        <v>3668.74</v>
      </c>
      <c r="U130">
        <f>ROUND((175/100)*ROUND((Source!AE47*Source!AV47)*Source!I47, 2), 2)</f>
        <v>0</v>
      </c>
      <c r="V130">
        <f>ROUND((108/100)*ROUND(Source!CS47*Source!I47, 2), 2)</f>
        <v>0</v>
      </c>
    </row>
    <row r="131" spans="1:22" ht="14.5" x14ac:dyDescent="0.35">
      <c r="A131" s="18"/>
      <c r="B131" s="18"/>
      <c r="C131" s="18" t="s">
        <v>373</v>
      </c>
      <c r="D131" s="19"/>
      <c r="E131" s="8"/>
      <c r="F131" s="21">
        <f>Source!AO47</f>
        <v>5777.54</v>
      </c>
      <c r="G131" s="20" t="str">
        <f>Source!DG47</f>
        <v>)*5</v>
      </c>
      <c r="H131" s="8">
        <f>Source!AV47</f>
        <v>1</v>
      </c>
      <c r="I131" s="8">
        <f>IF(Source!BA47&lt;&gt; 0, Source!BA47, 1)</f>
        <v>1</v>
      </c>
      <c r="J131" s="21">
        <f>Source!S47</f>
        <v>36687.379999999997</v>
      </c>
      <c r="K131" s="21"/>
    </row>
    <row r="132" spans="1:22" ht="14.5" x14ac:dyDescent="0.35">
      <c r="A132" s="18"/>
      <c r="B132" s="18"/>
      <c r="C132" s="18" t="s">
        <v>378</v>
      </c>
      <c r="D132" s="19"/>
      <c r="E132" s="8"/>
      <c r="F132" s="21">
        <f>Source!AL47</f>
        <v>5687.69</v>
      </c>
      <c r="G132" s="20" t="str">
        <f>Source!DD47</f>
        <v>)*5</v>
      </c>
      <c r="H132" s="8">
        <f>Source!AW47</f>
        <v>1</v>
      </c>
      <c r="I132" s="8">
        <f>IF(Source!BC47&lt;&gt; 0, Source!BC47, 1)</f>
        <v>1</v>
      </c>
      <c r="J132" s="21">
        <f>Source!P47</f>
        <v>36116.83</v>
      </c>
      <c r="K132" s="21"/>
    </row>
    <row r="133" spans="1:22" ht="14.5" x14ac:dyDescent="0.35">
      <c r="A133" s="18" t="s">
        <v>96</v>
      </c>
      <c r="B133" s="18" t="str">
        <f>Source!F48</f>
        <v>21.1-25-13</v>
      </c>
      <c r="C133" s="18" t="str">
        <f>Source!G48</f>
        <v>Вода</v>
      </c>
      <c r="D133" s="19" t="str">
        <f>Source!H48</f>
        <v>м3</v>
      </c>
      <c r="E133" s="8">
        <f>Source!I48</f>
        <v>-9.5250000000000004</v>
      </c>
      <c r="F133" s="21">
        <f>Source!AK48</f>
        <v>54.81</v>
      </c>
      <c r="G133" s="27" t="s">
        <v>380</v>
      </c>
      <c r="H133" s="8">
        <f>Source!AW48</f>
        <v>1</v>
      </c>
      <c r="I133" s="8">
        <f>IF(Source!BC48&lt;&gt; 0, Source!BC48, 1)</f>
        <v>1</v>
      </c>
      <c r="J133" s="21">
        <f>Source!O48</f>
        <v>-522.07000000000005</v>
      </c>
      <c r="K133" s="21"/>
      <c r="Q133">
        <f>ROUND((Source!BZ48/100)*ROUND((Source!AF48*Source!AV48)*Source!I48, 2), 2)</f>
        <v>0</v>
      </c>
      <c r="R133">
        <f>Source!X48</f>
        <v>0</v>
      </c>
      <c r="S133">
        <f>ROUND((Source!CA48/100)*ROUND((Source!AF48*Source!AV48)*Source!I48, 2), 2)</f>
        <v>0</v>
      </c>
      <c r="T133">
        <f>Source!Y48</f>
        <v>0</v>
      </c>
      <c r="U133">
        <f>ROUND((175/100)*ROUND((Source!AE48*Source!AV48)*Source!I48, 2), 2)</f>
        <v>0</v>
      </c>
      <c r="V133">
        <f>ROUND((108/100)*ROUND(Source!CS48*Source!I48, 2), 2)</f>
        <v>0</v>
      </c>
    </row>
    <row r="134" spans="1:22" ht="14.5" x14ac:dyDescent="0.35">
      <c r="A134" s="18"/>
      <c r="B134" s="18"/>
      <c r="C134" s="18" t="s">
        <v>374</v>
      </c>
      <c r="D134" s="19" t="s">
        <v>372</v>
      </c>
      <c r="E134" s="8">
        <f>Source!AT47</f>
        <v>70</v>
      </c>
      <c r="F134" s="21"/>
      <c r="G134" s="20"/>
      <c r="H134" s="8"/>
      <c r="I134" s="8"/>
      <c r="J134" s="21">
        <f>SUM(R130:R133)</f>
        <v>25681.17</v>
      </c>
      <c r="K134" s="21"/>
    </row>
    <row r="135" spans="1:22" ht="14.5" x14ac:dyDescent="0.35">
      <c r="A135" s="18"/>
      <c r="B135" s="18"/>
      <c r="C135" s="18" t="s">
        <v>375</v>
      </c>
      <c r="D135" s="19" t="s">
        <v>372</v>
      </c>
      <c r="E135" s="8">
        <f>Source!AU47</f>
        <v>10</v>
      </c>
      <c r="F135" s="21"/>
      <c r="G135" s="20"/>
      <c r="H135" s="8"/>
      <c r="I135" s="8"/>
      <c r="J135" s="21">
        <f>SUM(T130:T134)</f>
        <v>3668.74</v>
      </c>
      <c r="K135" s="21"/>
    </row>
    <row r="136" spans="1:22" ht="14.5" x14ac:dyDescent="0.35">
      <c r="A136" s="18"/>
      <c r="B136" s="18"/>
      <c r="C136" s="18" t="s">
        <v>376</v>
      </c>
      <c r="D136" s="19" t="s">
        <v>377</v>
      </c>
      <c r="E136" s="8">
        <f>Source!AQ47</f>
        <v>12.75</v>
      </c>
      <c r="F136" s="21"/>
      <c r="G136" s="20" t="str">
        <f>Source!DI47</f>
        <v>)*5</v>
      </c>
      <c r="H136" s="8">
        <f>Source!AV47</f>
        <v>1</v>
      </c>
      <c r="I136" s="8"/>
      <c r="J136" s="21"/>
      <c r="K136" s="21">
        <f>Source!U47</f>
        <v>80.962500000000006</v>
      </c>
    </row>
    <row r="137" spans="1:22" ht="14" x14ac:dyDescent="0.3">
      <c r="A137" s="25"/>
      <c r="B137" s="25"/>
      <c r="C137" s="25"/>
      <c r="D137" s="25"/>
      <c r="E137" s="25"/>
      <c r="F137" s="25"/>
      <c r="G137" s="25"/>
      <c r="H137" s="25"/>
      <c r="I137" s="52">
        <f>J131+J132+J134+J135+SUM(J133:J133)</f>
        <v>101632.04999999999</v>
      </c>
      <c r="J137" s="52"/>
      <c r="K137" s="26">
        <f>IF(Source!I47&lt;&gt;0, ROUND(I137/Source!I47, 2), 0)</f>
        <v>80025.240000000005</v>
      </c>
      <c r="P137" s="23">
        <f>I137</f>
        <v>101632.04999999999</v>
      </c>
    </row>
    <row r="138" spans="1:22" ht="28" x14ac:dyDescent="0.35">
      <c r="A138" s="18">
        <v>16</v>
      </c>
      <c r="B138" s="18" t="str">
        <f>Source!F49</f>
        <v>5.4-1202-1-1/1</v>
      </c>
      <c r="C138" s="18" t="str">
        <f>Source!G49</f>
        <v>Рыхление смерзшегося снега по краю газона</v>
      </c>
      <c r="D138" s="19" t="str">
        <f>Source!H49</f>
        <v>м3</v>
      </c>
      <c r="E138" s="8">
        <f>Source!I49</f>
        <v>3713.46</v>
      </c>
      <c r="F138" s="21"/>
      <c r="G138" s="20"/>
      <c r="H138" s="8"/>
      <c r="I138" s="8"/>
      <c r="J138" s="21"/>
      <c r="K138" s="21"/>
      <c r="Q138">
        <f>ROUND((Source!BZ49/100)*ROUND((Source!AF49*Source!AV49)*Source!I49, 2), 2)</f>
        <v>270911.76</v>
      </c>
      <c r="R138">
        <f>Source!X49</f>
        <v>270911.76</v>
      </c>
      <c r="S138">
        <f>ROUND((Source!CA49/100)*ROUND((Source!AF49*Source!AV49)*Source!I49, 2), 2)</f>
        <v>38701.68</v>
      </c>
      <c r="T138">
        <f>Source!Y49</f>
        <v>38701.68</v>
      </c>
      <c r="U138">
        <f>ROUND((175/100)*ROUND((Source!AE49*Source!AV49)*Source!I49, 2), 2)</f>
        <v>0</v>
      </c>
      <c r="V138">
        <f>ROUND((108/100)*ROUND(Source!CS49*Source!I49, 2), 2)</f>
        <v>0</v>
      </c>
    </row>
    <row r="139" spans="1:22" ht="14.5" x14ac:dyDescent="0.35">
      <c r="A139" s="18"/>
      <c r="B139" s="18"/>
      <c r="C139" s="18" t="s">
        <v>373</v>
      </c>
      <c r="D139" s="19"/>
      <c r="E139" s="8"/>
      <c r="F139" s="21">
        <f>Source!AO49</f>
        <v>104.22</v>
      </c>
      <c r="G139" s="20" t="str">
        <f>Source!DG49</f>
        <v/>
      </c>
      <c r="H139" s="8">
        <f>Source!AV49</f>
        <v>1</v>
      </c>
      <c r="I139" s="8">
        <f>IF(Source!BA49&lt;&gt; 0, Source!BA49, 1)</f>
        <v>1</v>
      </c>
      <c r="J139" s="21">
        <f>Source!S49</f>
        <v>387016.8</v>
      </c>
      <c r="K139" s="21"/>
    </row>
    <row r="140" spans="1:22" ht="14.5" x14ac:dyDescent="0.35">
      <c r="A140" s="18"/>
      <c r="B140" s="18"/>
      <c r="C140" s="18" t="s">
        <v>374</v>
      </c>
      <c r="D140" s="19" t="s">
        <v>372</v>
      </c>
      <c r="E140" s="8">
        <f>Source!AT49</f>
        <v>70</v>
      </c>
      <c r="F140" s="21"/>
      <c r="G140" s="20"/>
      <c r="H140" s="8"/>
      <c r="I140" s="8"/>
      <c r="J140" s="21">
        <f>SUM(R138:R139)</f>
        <v>270911.76</v>
      </c>
      <c r="K140" s="21"/>
    </row>
    <row r="141" spans="1:22" ht="14.5" x14ac:dyDescent="0.35">
      <c r="A141" s="18"/>
      <c r="B141" s="18"/>
      <c r="C141" s="18" t="s">
        <v>375</v>
      </c>
      <c r="D141" s="19" t="s">
        <v>372</v>
      </c>
      <c r="E141" s="8">
        <f>Source!AU49</f>
        <v>10</v>
      </c>
      <c r="F141" s="21"/>
      <c r="G141" s="20"/>
      <c r="H141" s="8"/>
      <c r="I141" s="8"/>
      <c r="J141" s="21">
        <f>SUM(T138:T140)</f>
        <v>38701.68</v>
      </c>
      <c r="K141" s="21"/>
    </row>
    <row r="142" spans="1:22" ht="14.5" x14ac:dyDescent="0.35">
      <c r="A142" s="18"/>
      <c r="B142" s="18"/>
      <c r="C142" s="18" t="s">
        <v>376</v>
      </c>
      <c r="D142" s="19" t="s">
        <v>377</v>
      </c>
      <c r="E142" s="8">
        <f>Source!AQ49</f>
        <v>0.23</v>
      </c>
      <c r="F142" s="21"/>
      <c r="G142" s="20" t="str">
        <f>Source!DI49</f>
        <v/>
      </c>
      <c r="H142" s="8">
        <f>Source!AV49</f>
        <v>1</v>
      </c>
      <c r="I142" s="8"/>
      <c r="J142" s="21"/>
      <c r="K142" s="21">
        <f>Source!U49</f>
        <v>854.09580000000005</v>
      </c>
    </row>
    <row r="143" spans="1:22" ht="14" x14ac:dyDescent="0.3">
      <c r="A143" s="25"/>
      <c r="B143" s="25"/>
      <c r="C143" s="25"/>
      <c r="D143" s="25"/>
      <c r="E143" s="25"/>
      <c r="F143" s="25"/>
      <c r="G143" s="25"/>
      <c r="H143" s="25"/>
      <c r="I143" s="52">
        <f>J139+J140+J141</f>
        <v>696630.24000000011</v>
      </c>
      <c r="J143" s="52"/>
      <c r="K143" s="26">
        <f>IF(Source!I49&lt;&gt;0, ROUND(I143/Source!I49, 2), 0)</f>
        <v>187.6</v>
      </c>
      <c r="P143" s="23">
        <f>I143</f>
        <v>696630.24000000011</v>
      </c>
    </row>
    <row r="144" spans="1:22" ht="28" x14ac:dyDescent="0.35">
      <c r="A144" s="18">
        <v>17</v>
      </c>
      <c r="B144" s="18" t="str">
        <f>Source!F50</f>
        <v>5.3-1102-7-1/1</v>
      </c>
      <c r="C144" s="18" t="str">
        <f>Source!G50</f>
        <v>Очистка от снега и мусора контейнерной площадки вручную</v>
      </c>
      <c r="D144" s="19" t="str">
        <f>Source!H50</f>
        <v>100 м2</v>
      </c>
      <c r="E144" s="8">
        <f>Source!I50</f>
        <v>0.46800000000000003</v>
      </c>
      <c r="F144" s="21"/>
      <c r="G144" s="20"/>
      <c r="H144" s="8"/>
      <c r="I144" s="8"/>
      <c r="J144" s="21"/>
      <c r="K144" s="21"/>
      <c r="Q144">
        <f>ROUND((Source!BZ50/100)*ROUND((Source!AF50*Source!AV50)*Source!I50, 2), 2)</f>
        <v>76145.119999999995</v>
      </c>
      <c r="R144">
        <f>Source!X50</f>
        <v>76145.119999999995</v>
      </c>
      <c r="S144">
        <f>ROUND((Source!CA50/100)*ROUND((Source!AF50*Source!AV50)*Source!I50, 2), 2)</f>
        <v>10877.87</v>
      </c>
      <c r="T144">
        <f>Source!Y50</f>
        <v>10877.87</v>
      </c>
      <c r="U144">
        <f>ROUND((175/100)*ROUND((Source!AE50*Source!AV50)*Source!I50, 2), 2)</f>
        <v>0</v>
      </c>
      <c r="V144">
        <f>ROUND((108/100)*ROUND(Source!CS50*Source!I50, 2), 2)</f>
        <v>0</v>
      </c>
    </row>
    <row r="145" spans="1:32" ht="14.5" x14ac:dyDescent="0.35">
      <c r="A145" s="18"/>
      <c r="B145" s="18"/>
      <c r="C145" s="18" t="s">
        <v>373</v>
      </c>
      <c r="D145" s="19"/>
      <c r="E145" s="8"/>
      <c r="F145" s="21">
        <f>Source!AO50</f>
        <v>1400.2</v>
      </c>
      <c r="G145" s="20" t="str">
        <f>Source!DG50</f>
        <v>)*166</v>
      </c>
      <c r="H145" s="8">
        <f>Source!AV50</f>
        <v>1</v>
      </c>
      <c r="I145" s="8">
        <f>IF(Source!BA50&lt;&gt; 0, Source!BA50, 1)</f>
        <v>1</v>
      </c>
      <c r="J145" s="21">
        <f>Source!S50</f>
        <v>108778.74</v>
      </c>
      <c r="K145" s="21"/>
    </row>
    <row r="146" spans="1:32" ht="14.5" x14ac:dyDescent="0.35">
      <c r="A146" s="18"/>
      <c r="B146" s="18"/>
      <c r="C146" s="18" t="s">
        <v>374</v>
      </c>
      <c r="D146" s="19" t="s">
        <v>372</v>
      </c>
      <c r="E146" s="8">
        <f>Source!AT50</f>
        <v>70</v>
      </c>
      <c r="F146" s="21"/>
      <c r="G146" s="20"/>
      <c r="H146" s="8"/>
      <c r="I146" s="8"/>
      <c r="J146" s="21">
        <f>SUM(R144:R145)</f>
        <v>76145.119999999995</v>
      </c>
      <c r="K146" s="21"/>
    </row>
    <row r="147" spans="1:32" ht="14.5" x14ac:dyDescent="0.35">
      <c r="A147" s="18"/>
      <c r="B147" s="18"/>
      <c r="C147" s="18" t="s">
        <v>375</v>
      </c>
      <c r="D147" s="19" t="s">
        <v>372</v>
      </c>
      <c r="E147" s="8">
        <f>Source!AU50</f>
        <v>10</v>
      </c>
      <c r="F147" s="21"/>
      <c r="G147" s="20"/>
      <c r="H147" s="8"/>
      <c r="I147" s="8"/>
      <c r="J147" s="21">
        <f>SUM(T144:T146)</f>
        <v>10877.87</v>
      </c>
      <c r="K147" s="21"/>
    </row>
    <row r="148" spans="1:32" ht="14.5" x14ac:dyDescent="0.35">
      <c r="A148" s="18"/>
      <c r="B148" s="18"/>
      <c r="C148" s="18" t="s">
        <v>376</v>
      </c>
      <c r="D148" s="19" t="s">
        <v>377</v>
      </c>
      <c r="E148" s="8">
        <f>Source!AQ50</f>
        <v>3.09</v>
      </c>
      <c r="F148" s="21"/>
      <c r="G148" s="20" t="str">
        <f>Source!DI50</f>
        <v>)*166</v>
      </c>
      <c r="H148" s="8">
        <f>Source!AV50</f>
        <v>1</v>
      </c>
      <c r="I148" s="8"/>
      <c r="J148" s="21"/>
      <c r="K148" s="21">
        <f>Source!U50</f>
        <v>240.05591999999999</v>
      </c>
    </row>
    <row r="149" spans="1:32" ht="14" x14ac:dyDescent="0.3">
      <c r="A149" s="25"/>
      <c r="B149" s="25"/>
      <c r="C149" s="25"/>
      <c r="D149" s="25"/>
      <c r="E149" s="25"/>
      <c r="F149" s="25"/>
      <c r="G149" s="25"/>
      <c r="H149" s="25"/>
      <c r="I149" s="52">
        <f>J145+J146+J147</f>
        <v>195801.72999999998</v>
      </c>
      <c r="J149" s="52"/>
      <c r="K149" s="26">
        <f>IF(Source!I50&lt;&gt;0, ROUND(I149/Source!I50, 2), 0)</f>
        <v>418379.76</v>
      </c>
      <c r="P149" s="23">
        <f>I149</f>
        <v>195801.72999999998</v>
      </c>
    </row>
    <row r="151" spans="1:32" ht="14" x14ac:dyDescent="0.3">
      <c r="A151" s="55" t="str">
        <f>CONCATENATE("Итого по подразделу: ",IF(Source!G52&lt;&gt;"Новый подраздел", Source!G52, ""))</f>
        <v xml:space="preserve">Итого по подразделу: Подраздел: ЗИМНЯЯ УБОРКА </v>
      </c>
      <c r="B151" s="55"/>
      <c r="C151" s="55"/>
      <c r="D151" s="55"/>
      <c r="E151" s="55"/>
      <c r="F151" s="55"/>
      <c r="G151" s="55"/>
      <c r="H151" s="55"/>
      <c r="I151" s="53">
        <f>SUM(P37:P150)</f>
        <v>105808635.36</v>
      </c>
      <c r="J151" s="54"/>
      <c r="K151" s="28"/>
      <c r="AF151" s="29" t="str">
        <f>CONCATENATE("Итого по подразделу: ",IF(Source!G52&lt;&gt;"Новый подраздел", Source!G52, ""))</f>
        <v xml:space="preserve">Итого по подразделу: Подраздел: ЗИМНЯЯ УБОРКА </v>
      </c>
    </row>
    <row r="154" spans="1:32" ht="16.5" x14ac:dyDescent="0.35">
      <c r="A154" s="51" t="str">
        <f>CONCATENATE("Подраздел: ",IF(Source!G82&lt;&gt;"Новый подраздел", Source!G82, ""))</f>
        <v xml:space="preserve">Подраздел: Подраздел: ЛЕТНЯЯ УБОРКА </v>
      </c>
      <c r="B154" s="51"/>
      <c r="C154" s="51"/>
      <c r="D154" s="51"/>
      <c r="E154" s="51"/>
      <c r="F154" s="51"/>
      <c r="G154" s="51"/>
      <c r="H154" s="51"/>
      <c r="I154" s="51"/>
      <c r="J154" s="51"/>
      <c r="K154" s="51"/>
    </row>
    <row r="155" spans="1:32" ht="42" x14ac:dyDescent="0.35">
      <c r="A155" s="18">
        <v>18</v>
      </c>
      <c r="B155" s="18" t="str">
        <f>Source!F86</f>
        <v>5.3-1101-15-1/1</v>
      </c>
      <c r="C155" s="18" t="str">
        <f>Source!G86</f>
        <v>Подметание тротуаров, придомовых и внутрибольничных проездов средствами малой механизации</v>
      </c>
      <c r="D155" s="19" t="str">
        <f>Source!H86</f>
        <v>1000 м2</v>
      </c>
      <c r="E155" s="8">
        <f>Source!I86</f>
        <v>123.58328</v>
      </c>
      <c r="F155" s="21"/>
      <c r="G155" s="20"/>
      <c r="H155" s="8"/>
      <c r="I155" s="8"/>
      <c r="J155" s="21"/>
      <c r="K155" s="21"/>
      <c r="Q155">
        <f>ROUND((Source!BZ86/100)*ROUND((Source!AF86*Source!AV86)*Source!I86, 2), 2)</f>
        <v>0</v>
      </c>
      <c r="R155">
        <f>Source!X86</f>
        <v>0</v>
      </c>
      <c r="S155">
        <f>ROUND((Source!CA86/100)*ROUND((Source!AF86*Source!AV86)*Source!I86, 2), 2)</f>
        <v>0</v>
      </c>
      <c r="T155">
        <f>Source!Y86</f>
        <v>0</v>
      </c>
      <c r="U155">
        <f>ROUND((175/100)*ROUND((Source!AE86*Source!AV86)*Source!I86, 2), 2)</f>
        <v>8104670.2800000003</v>
      </c>
      <c r="V155">
        <f>ROUND((108/100)*ROUND(Source!CS86*Source!I86, 2), 2)</f>
        <v>5001739.37</v>
      </c>
    </row>
    <row r="156" spans="1:32" ht="14.5" x14ac:dyDescent="0.35">
      <c r="A156" s="18"/>
      <c r="B156" s="18"/>
      <c r="C156" s="18" t="s">
        <v>369</v>
      </c>
      <c r="D156" s="19"/>
      <c r="E156" s="8"/>
      <c r="F156" s="21">
        <f>Source!AM86</f>
        <v>463.65</v>
      </c>
      <c r="G156" s="20" t="str">
        <f>Source!DE86</f>
        <v>)*171</v>
      </c>
      <c r="H156" s="8">
        <f>Source!AV86</f>
        <v>1</v>
      </c>
      <c r="I156" s="8">
        <f>IF(Source!BB86&lt;&gt; 0, Source!BB86, 1)</f>
        <v>1</v>
      </c>
      <c r="J156" s="21">
        <f>Source!Q86</f>
        <v>9798195.3100000005</v>
      </c>
      <c r="K156" s="21"/>
    </row>
    <row r="157" spans="1:32" ht="14.5" x14ac:dyDescent="0.35">
      <c r="A157" s="18"/>
      <c r="B157" s="18"/>
      <c r="C157" s="18" t="s">
        <v>370</v>
      </c>
      <c r="D157" s="19"/>
      <c r="E157" s="8"/>
      <c r="F157" s="21">
        <f>Source!AN86</f>
        <v>219.15</v>
      </c>
      <c r="G157" s="20" t="str">
        <f>Source!DF86</f>
        <v>)*171</v>
      </c>
      <c r="H157" s="8">
        <f>Source!AV86</f>
        <v>1</v>
      </c>
      <c r="I157" s="8">
        <f>IF(Source!BS86&lt;&gt; 0, Source!BS86, 1)</f>
        <v>1</v>
      </c>
      <c r="J157" s="22">
        <f>Source!R86</f>
        <v>4631240.16</v>
      </c>
      <c r="K157" s="21"/>
    </row>
    <row r="158" spans="1:32" ht="14.5" x14ac:dyDescent="0.35">
      <c r="A158" s="18"/>
      <c r="B158" s="18"/>
      <c r="C158" s="18" t="s">
        <v>378</v>
      </c>
      <c r="D158" s="19"/>
      <c r="E158" s="8"/>
      <c r="F158" s="21">
        <f>Source!AL86</f>
        <v>10.96</v>
      </c>
      <c r="G158" s="20" t="str">
        <f>Source!DD86</f>
        <v>)*171</v>
      </c>
      <c r="H158" s="8">
        <f>Source!AW86</f>
        <v>1</v>
      </c>
      <c r="I158" s="8">
        <f>IF(Source!BC86&lt;&gt; 0, Source!BC86, 1)</f>
        <v>1</v>
      </c>
      <c r="J158" s="21">
        <f>Source!P86</f>
        <v>231614.84</v>
      </c>
      <c r="K158" s="21"/>
    </row>
    <row r="159" spans="1:32" ht="14.5" x14ac:dyDescent="0.35">
      <c r="A159" s="18" t="s">
        <v>162</v>
      </c>
      <c r="B159" s="18" t="str">
        <f>Source!F87</f>
        <v>21.1-25-13</v>
      </c>
      <c r="C159" s="18" t="str">
        <f>Source!G87</f>
        <v>Вода</v>
      </c>
      <c r="D159" s="19" t="str">
        <f>Source!H87</f>
        <v>м3</v>
      </c>
      <c r="E159" s="8">
        <f>Source!I87</f>
        <v>-4226.5481760000002</v>
      </c>
      <c r="F159" s="21">
        <f>Source!AK87</f>
        <v>54.81</v>
      </c>
      <c r="G159" s="27" t="s">
        <v>381</v>
      </c>
      <c r="H159" s="8">
        <f>Source!AW87</f>
        <v>1</v>
      </c>
      <c r="I159" s="8">
        <f>IF(Source!BC87&lt;&gt; 0, Source!BC87, 1)</f>
        <v>1</v>
      </c>
      <c r="J159" s="21">
        <f>Source!O87</f>
        <v>-231657.11</v>
      </c>
      <c r="K159" s="21"/>
      <c r="Q159">
        <f>ROUND((Source!BZ87/100)*ROUND((Source!AF87*Source!AV87)*Source!I87, 2), 2)</f>
        <v>0</v>
      </c>
      <c r="R159">
        <f>Source!X87</f>
        <v>0</v>
      </c>
      <c r="S159">
        <f>ROUND((Source!CA87/100)*ROUND((Source!AF87*Source!AV87)*Source!I87, 2), 2)</f>
        <v>0</v>
      </c>
      <c r="T159">
        <f>Source!Y87</f>
        <v>0</v>
      </c>
      <c r="U159">
        <f>ROUND((175/100)*ROUND((Source!AE87*Source!AV87)*Source!I87, 2), 2)</f>
        <v>0</v>
      </c>
      <c r="V159">
        <f>ROUND((108/100)*ROUND(Source!CS87*Source!I87, 2), 2)</f>
        <v>0</v>
      </c>
    </row>
    <row r="160" spans="1:32" ht="14.5" x14ac:dyDescent="0.35">
      <c r="A160" s="18"/>
      <c r="B160" s="18"/>
      <c r="C160" s="18" t="s">
        <v>371</v>
      </c>
      <c r="D160" s="19" t="s">
        <v>372</v>
      </c>
      <c r="E160" s="8">
        <f>108</f>
        <v>108</v>
      </c>
      <c r="F160" s="21"/>
      <c r="G160" s="20"/>
      <c r="H160" s="8"/>
      <c r="I160" s="8"/>
      <c r="J160" s="21">
        <f>SUM(V155:V159)</f>
        <v>5001739.37</v>
      </c>
      <c r="K160" s="21"/>
    </row>
    <row r="161" spans="1:22" ht="14" x14ac:dyDescent="0.3">
      <c r="A161" s="25"/>
      <c r="B161" s="25"/>
      <c r="C161" s="25"/>
      <c r="D161" s="25"/>
      <c r="E161" s="25"/>
      <c r="F161" s="25"/>
      <c r="G161" s="25"/>
      <c r="H161" s="25"/>
      <c r="I161" s="52">
        <f>J156+J158+J160+SUM(J159:J159)</f>
        <v>14799892.41</v>
      </c>
      <c r="J161" s="52"/>
      <c r="K161" s="26">
        <f>IF(Source!I86&lt;&gt;0, ROUND(I161/Source!I86, 2), 0)</f>
        <v>119756.43</v>
      </c>
      <c r="P161" s="23">
        <f>I161</f>
        <v>14799892.41</v>
      </c>
    </row>
    <row r="162" spans="1:22" ht="28" x14ac:dyDescent="0.35">
      <c r="A162" s="18">
        <v>19</v>
      </c>
      <c r="B162" s="18" t="str">
        <f>Source!F88</f>
        <v>5.3-1101-13-1/1</v>
      </c>
      <c r="C162" s="18" t="str">
        <f>Source!G88</f>
        <v>Подметание вручную дорожек и площадок с твердым покрытием</v>
      </c>
      <c r="D162" s="19" t="str">
        <f>Source!H88</f>
        <v>100 м2</v>
      </c>
      <c r="E162" s="8">
        <f>Source!I88</f>
        <v>308.95819999999998</v>
      </c>
      <c r="F162" s="21"/>
      <c r="G162" s="20"/>
      <c r="H162" s="8"/>
      <c r="I162" s="8"/>
      <c r="J162" s="21"/>
      <c r="K162" s="21"/>
      <c r="Q162">
        <f>ROUND((Source!BZ88/100)*ROUND((Source!AF88*Source!AV88)*Source!I88, 2), 2)</f>
        <v>2346156.89</v>
      </c>
      <c r="R162">
        <f>Source!X88</f>
        <v>2346156.89</v>
      </c>
      <c r="S162">
        <f>ROUND((Source!CA88/100)*ROUND((Source!AF88*Source!AV88)*Source!I88, 2), 2)</f>
        <v>335165.27</v>
      </c>
      <c r="T162">
        <f>Source!Y88</f>
        <v>335165.27</v>
      </c>
      <c r="U162">
        <f>ROUND((175/100)*ROUND((Source!AE88*Source!AV88)*Source!I88, 2), 2)</f>
        <v>0</v>
      </c>
      <c r="V162">
        <f>ROUND((108/100)*ROUND(Source!CS88*Source!I88, 2), 2)</f>
        <v>0</v>
      </c>
    </row>
    <row r="163" spans="1:22" ht="14.5" x14ac:dyDescent="0.35">
      <c r="A163" s="18"/>
      <c r="B163" s="18"/>
      <c r="C163" s="18" t="s">
        <v>373</v>
      </c>
      <c r="D163" s="19"/>
      <c r="E163" s="8"/>
      <c r="F163" s="21">
        <f>Source!AO88</f>
        <v>63.44</v>
      </c>
      <c r="G163" s="20" t="str">
        <f>Source!DG88</f>
        <v>)*171</v>
      </c>
      <c r="H163" s="8">
        <f>Source!AV88</f>
        <v>1</v>
      </c>
      <c r="I163" s="8">
        <f>IF(Source!BA88&lt;&gt; 0, Source!BA88, 1)</f>
        <v>1</v>
      </c>
      <c r="J163" s="21">
        <f>Source!S88</f>
        <v>3351652.7</v>
      </c>
      <c r="K163" s="21"/>
    </row>
    <row r="164" spans="1:22" ht="14.5" x14ac:dyDescent="0.35">
      <c r="A164" s="18"/>
      <c r="B164" s="18"/>
      <c r="C164" s="18" t="s">
        <v>374</v>
      </c>
      <c r="D164" s="19" t="s">
        <v>372</v>
      </c>
      <c r="E164" s="8">
        <f>Source!AT88</f>
        <v>70</v>
      </c>
      <c r="F164" s="21"/>
      <c r="G164" s="20"/>
      <c r="H164" s="8"/>
      <c r="I164" s="8"/>
      <c r="J164" s="21">
        <f>SUM(R162:R163)</f>
        <v>2346156.89</v>
      </c>
      <c r="K164" s="21"/>
    </row>
    <row r="165" spans="1:22" ht="14.5" x14ac:dyDescent="0.35">
      <c r="A165" s="18"/>
      <c r="B165" s="18"/>
      <c r="C165" s="18" t="s">
        <v>375</v>
      </c>
      <c r="D165" s="19" t="s">
        <v>372</v>
      </c>
      <c r="E165" s="8">
        <f>Source!AU88</f>
        <v>10</v>
      </c>
      <c r="F165" s="21"/>
      <c r="G165" s="20"/>
      <c r="H165" s="8"/>
      <c r="I165" s="8"/>
      <c r="J165" s="21">
        <f>SUM(T162:T164)</f>
        <v>335165.27</v>
      </c>
      <c r="K165" s="21"/>
    </row>
    <row r="166" spans="1:22" ht="14.5" x14ac:dyDescent="0.35">
      <c r="A166" s="18"/>
      <c r="B166" s="18"/>
      <c r="C166" s="18" t="s">
        <v>376</v>
      </c>
      <c r="D166" s="19" t="s">
        <v>377</v>
      </c>
      <c r="E166" s="8">
        <f>Source!AQ88</f>
        <v>0.14000000000000001</v>
      </c>
      <c r="F166" s="21"/>
      <c r="G166" s="20" t="str">
        <f>Source!DI88</f>
        <v>)*171</v>
      </c>
      <c r="H166" s="8">
        <f>Source!AV88</f>
        <v>1</v>
      </c>
      <c r="I166" s="8"/>
      <c r="J166" s="21"/>
      <c r="K166" s="21">
        <f>Source!U88</f>
        <v>7396.4593079999995</v>
      </c>
    </row>
    <row r="167" spans="1:22" ht="14" x14ac:dyDescent="0.3">
      <c r="A167" s="25"/>
      <c r="B167" s="25"/>
      <c r="C167" s="25"/>
      <c r="D167" s="25"/>
      <c r="E167" s="25"/>
      <c r="F167" s="25"/>
      <c r="G167" s="25"/>
      <c r="H167" s="25"/>
      <c r="I167" s="52">
        <f>J163+J164+J165</f>
        <v>6032974.8599999994</v>
      </c>
      <c r="J167" s="52"/>
      <c r="K167" s="26">
        <f>IF(Source!I88&lt;&gt;0, ROUND(I167/Source!I88, 2), 0)</f>
        <v>19526.830000000002</v>
      </c>
      <c r="P167" s="23">
        <f>I167</f>
        <v>6032974.8599999994</v>
      </c>
    </row>
    <row r="168" spans="1:22" ht="42" x14ac:dyDescent="0.35">
      <c r="A168" s="18">
        <v>20</v>
      </c>
      <c r="B168" s="18" t="str">
        <f>Source!F90</f>
        <v>5.3-1101-19-1/1</v>
      </c>
      <c r="C168" s="18" t="str">
        <f>Source!G90</f>
        <v>Уборка полиуретанового покрытия игровых площадок, спортивных дорожек и площадок вручную</v>
      </c>
      <c r="D168" s="19" t="str">
        <f>Source!H90</f>
        <v>100 м2</v>
      </c>
      <c r="E168" s="8">
        <f>Source!I90</f>
        <v>39.76</v>
      </c>
      <c r="F168" s="21"/>
      <c r="G168" s="20"/>
      <c r="H168" s="8"/>
      <c r="I168" s="8"/>
      <c r="J168" s="21"/>
      <c r="K168" s="21"/>
      <c r="Q168">
        <f>ROUND((Source!BZ90/100)*ROUND((Source!AF90*Source!AV90)*Source!I90, 2), 2)</f>
        <v>356517.06</v>
      </c>
      <c r="R168">
        <f>Source!X90</f>
        <v>356517.06</v>
      </c>
      <c r="S168">
        <f>ROUND((Source!CA90/100)*ROUND((Source!AF90*Source!AV90)*Source!I90, 2), 2)</f>
        <v>50931.01</v>
      </c>
      <c r="T168">
        <f>Source!Y90</f>
        <v>50931.01</v>
      </c>
      <c r="U168">
        <f>ROUND((175/100)*ROUND((Source!AE90*Source!AV90)*Source!I90, 2), 2)</f>
        <v>0</v>
      </c>
      <c r="V168">
        <f>ROUND((108/100)*ROUND(Source!CS90*Source!I90, 2), 2)</f>
        <v>0</v>
      </c>
    </row>
    <row r="169" spans="1:22" ht="14.5" x14ac:dyDescent="0.35">
      <c r="A169" s="18"/>
      <c r="B169" s="18"/>
      <c r="C169" s="18" t="s">
        <v>373</v>
      </c>
      <c r="D169" s="19"/>
      <c r="E169" s="8"/>
      <c r="F169" s="21">
        <f>Source!AO90</f>
        <v>74.91</v>
      </c>
      <c r="G169" s="20" t="str">
        <f>Source!DG90</f>
        <v>)*171</v>
      </c>
      <c r="H169" s="8">
        <f>Source!AV90</f>
        <v>1</v>
      </c>
      <c r="I169" s="8">
        <f>IF(Source!BA90&lt;&gt; 0, Source!BA90, 1)</f>
        <v>1</v>
      </c>
      <c r="J169" s="21">
        <f>Source!S90</f>
        <v>509310.09</v>
      </c>
      <c r="K169" s="21"/>
    </row>
    <row r="170" spans="1:22" ht="14.5" x14ac:dyDescent="0.35">
      <c r="A170" s="18"/>
      <c r="B170" s="18"/>
      <c r="C170" s="18" t="s">
        <v>378</v>
      </c>
      <c r="D170" s="19"/>
      <c r="E170" s="8"/>
      <c r="F170" s="21">
        <f>Source!AL90</f>
        <v>2.75</v>
      </c>
      <c r="G170" s="20" t="str">
        <f>Source!DD90</f>
        <v>)*171</v>
      </c>
      <c r="H170" s="8">
        <f>Source!AW90</f>
        <v>1</v>
      </c>
      <c r="I170" s="8">
        <f>IF(Source!BC90&lt;&gt; 0, Source!BC90, 1)</f>
        <v>1</v>
      </c>
      <c r="J170" s="21">
        <f>Source!P90</f>
        <v>18697.14</v>
      </c>
      <c r="K170" s="21"/>
    </row>
    <row r="171" spans="1:22" ht="14.5" x14ac:dyDescent="0.35">
      <c r="A171" s="18"/>
      <c r="B171" s="18"/>
      <c r="C171" s="18" t="s">
        <v>374</v>
      </c>
      <c r="D171" s="19" t="s">
        <v>372</v>
      </c>
      <c r="E171" s="8">
        <f>Source!AT90</f>
        <v>70</v>
      </c>
      <c r="F171" s="21"/>
      <c r="G171" s="20"/>
      <c r="H171" s="8"/>
      <c r="I171" s="8"/>
      <c r="J171" s="21">
        <f>SUM(R168:R170)</f>
        <v>356517.06</v>
      </c>
      <c r="K171" s="21"/>
    </row>
    <row r="172" spans="1:22" ht="14.5" x14ac:dyDescent="0.35">
      <c r="A172" s="18"/>
      <c r="B172" s="18"/>
      <c r="C172" s="18" t="s">
        <v>375</v>
      </c>
      <c r="D172" s="19" t="s">
        <v>372</v>
      </c>
      <c r="E172" s="8">
        <f>Source!AU90</f>
        <v>10</v>
      </c>
      <c r="F172" s="21"/>
      <c r="G172" s="20"/>
      <c r="H172" s="8"/>
      <c r="I172" s="8"/>
      <c r="J172" s="21">
        <f>SUM(T168:T171)</f>
        <v>50931.01</v>
      </c>
      <c r="K172" s="21"/>
    </row>
    <row r="173" spans="1:22" ht="14.5" x14ac:dyDescent="0.35">
      <c r="A173" s="18"/>
      <c r="B173" s="18"/>
      <c r="C173" s="18" t="s">
        <v>376</v>
      </c>
      <c r="D173" s="19" t="s">
        <v>377</v>
      </c>
      <c r="E173" s="8">
        <f>Source!AQ90</f>
        <v>0.23</v>
      </c>
      <c r="F173" s="21"/>
      <c r="G173" s="20" t="str">
        <f>Source!DI90</f>
        <v>)*171</v>
      </c>
      <c r="H173" s="8">
        <f>Source!AV90</f>
        <v>1</v>
      </c>
      <c r="I173" s="8"/>
      <c r="J173" s="21"/>
      <c r="K173" s="21">
        <f>Source!U90</f>
        <v>1563.7607999999998</v>
      </c>
    </row>
    <row r="174" spans="1:22" ht="14" x14ac:dyDescent="0.3">
      <c r="A174" s="25"/>
      <c r="B174" s="25"/>
      <c r="C174" s="25"/>
      <c r="D174" s="25"/>
      <c r="E174" s="25"/>
      <c r="F174" s="25"/>
      <c r="G174" s="25"/>
      <c r="H174" s="25"/>
      <c r="I174" s="52">
        <f>J169+J170+J171+J172</f>
        <v>935455.3</v>
      </c>
      <c r="J174" s="52"/>
      <c r="K174" s="26">
        <f>IF(Source!I90&lt;&gt;0, ROUND(I174/Source!I90, 2), 0)</f>
        <v>23527.55</v>
      </c>
      <c r="P174" s="23">
        <f>I174</f>
        <v>935455.3</v>
      </c>
    </row>
    <row r="175" spans="1:22" ht="42" x14ac:dyDescent="0.35">
      <c r="A175" s="18">
        <v>21</v>
      </c>
      <c r="B175" s="18" t="str">
        <f>Source!F91</f>
        <v>5.3-1101-15-4/1</v>
      </c>
      <c r="C175" s="18" t="str">
        <f>Source!G91</f>
        <v>Полив тротуаров, придомовых и внутрибольничных проездов средствами малой механизации</v>
      </c>
      <c r="D175" s="19" t="str">
        <f>Source!H91</f>
        <v>1000 м2</v>
      </c>
      <c r="E175" s="8">
        <f>Source!I91</f>
        <v>154.47909999999999</v>
      </c>
      <c r="F175" s="21"/>
      <c r="G175" s="20"/>
      <c r="H175" s="8"/>
      <c r="I175" s="8"/>
      <c r="J175" s="21"/>
      <c r="K175" s="21"/>
      <c r="Q175">
        <f>ROUND((Source!BZ91/100)*ROUND((Source!AF91*Source!AV91)*Source!I91, 2), 2)</f>
        <v>0</v>
      </c>
      <c r="R175">
        <f>Source!X91</f>
        <v>0</v>
      </c>
      <c r="S175">
        <f>ROUND((Source!CA91/100)*ROUND((Source!AF91*Source!AV91)*Source!I91, 2), 2)</f>
        <v>0</v>
      </c>
      <c r="T175">
        <f>Source!Y91</f>
        <v>0</v>
      </c>
      <c r="U175">
        <f>ROUND((175/100)*ROUND((Source!AE91*Source!AV91)*Source!I91, 2), 2)</f>
        <v>1818347.62</v>
      </c>
      <c r="V175">
        <f>ROUND((108/100)*ROUND(Source!CS91*Source!I91, 2), 2)</f>
        <v>1122180.24</v>
      </c>
    </row>
    <row r="176" spans="1:22" ht="14.5" x14ac:dyDescent="0.35">
      <c r="A176" s="18"/>
      <c r="B176" s="18"/>
      <c r="C176" s="18" t="s">
        <v>369</v>
      </c>
      <c r="D176" s="19"/>
      <c r="E176" s="8"/>
      <c r="F176" s="21">
        <f>Source!AM91</f>
        <v>748.98</v>
      </c>
      <c r="G176" s="20" t="str">
        <f>Source!DE91</f>
        <v>)*19</v>
      </c>
      <c r="H176" s="8">
        <f>Source!AV91</f>
        <v>1</v>
      </c>
      <c r="I176" s="8">
        <f>IF(Source!BB91&lt;&gt; 0, Source!BB91, 1)</f>
        <v>1</v>
      </c>
      <c r="J176" s="21">
        <f>Source!Q91</f>
        <v>2198333.37</v>
      </c>
      <c r="K176" s="21"/>
    </row>
    <row r="177" spans="1:22" ht="14.5" x14ac:dyDescent="0.35">
      <c r="A177" s="18"/>
      <c r="B177" s="18"/>
      <c r="C177" s="18" t="s">
        <v>370</v>
      </c>
      <c r="D177" s="19"/>
      <c r="E177" s="8"/>
      <c r="F177" s="21">
        <f>Source!AN91</f>
        <v>354.01</v>
      </c>
      <c r="G177" s="20" t="str">
        <f>Source!DF91</f>
        <v>)*19</v>
      </c>
      <c r="H177" s="8">
        <f>Source!AV91</f>
        <v>1</v>
      </c>
      <c r="I177" s="8">
        <f>IF(Source!BS91&lt;&gt; 0, Source!BS91, 1)</f>
        <v>1</v>
      </c>
      <c r="J177" s="22">
        <f>Source!R91</f>
        <v>1039055.78</v>
      </c>
      <c r="K177" s="21"/>
    </row>
    <row r="178" spans="1:22" ht="14.5" x14ac:dyDescent="0.35">
      <c r="A178" s="18"/>
      <c r="B178" s="18"/>
      <c r="C178" s="18" t="s">
        <v>378</v>
      </c>
      <c r="D178" s="19"/>
      <c r="E178" s="8"/>
      <c r="F178" s="21">
        <f>Source!AL91</f>
        <v>19.18</v>
      </c>
      <c r="G178" s="20" t="str">
        <f>Source!DD91</f>
        <v>)*19</v>
      </c>
      <c r="H178" s="8">
        <f>Source!AW91</f>
        <v>1</v>
      </c>
      <c r="I178" s="8">
        <f>IF(Source!BC91&lt;&gt; 0, Source!BC91, 1)</f>
        <v>1</v>
      </c>
      <c r="J178" s="21">
        <f>Source!P91</f>
        <v>56295.27</v>
      </c>
      <c r="K178" s="21"/>
    </row>
    <row r="179" spans="1:22" ht="14.5" x14ac:dyDescent="0.35">
      <c r="A179" s="18" t="s">
        <v>173</v>
      </c>
      <c r="B179" s="18" t="str">
        <f>Source!F92</f>
        <v>21.1-25-13</v>
      </c>
      <c r="C179" s="18" t="str">
        <f>Source!G92</f>
        <v>Вода</v>
      </c>
      <c r="D179" s="19" t="str">
        <f>Source!H92</f>
        <v>м3</v>
      </c>
      <c r="E179" s="8">
        <f>Source!I92</f>
        <v>-1027.2860149999999</v>
      </c>
      <c r="F179" s="21">
        <f>Source!AK92</f>
        <v>54.81</v>
      </c>
      <c r="G179" s="27" t="s">
        <v>382</v>
      </c>
      <c r="H179" s="8">
        <f>Source!AW92</f>
        <v>1</v>
      </c>
      <c r="I179" s="8">
        <f>IF(Source!BC92&lt;&gt; 0, Source!BC92, 1)</f>
        <v>1</v>
      </c>
      <c r="J179" s="21">
        <f>Source!O92</f>
        <v>-56305.55</v>
      </c>
      <c r="K179" s="21"/>
      <c r="Q179">
        <f>ROUND((Source!BZ92/100)*ROUND((Source!AF92*Source!AV92)*Source!I92, 2), 2)</f>
        <v>0</v>
      </c>
      <c r="R179">
        <f>Source!X92</f>
        <v>0</v>
      </c>
      <c r="S179">
        <f>ROUND((Source!CA92/100)*ROUND((Source!AF92*Source!AV92)*Source!I92, 2), 2)</f>
        <v>0</v>
      </c>
      <c r="T179">
        <f>Source!Y92</f>
        <v>0</v>
      </c>
      <c r="U179">
        <f>ROUND((175/100)*ROUND((Source!AE92*Source!AV92)*Source!I92, 2), 2)</f>
        <v>0</v>
      </c>
      <c r="V179">
        <f>ROUND((108/100)*ROUND(Source!CS92*Source!I92, 2), 2)</f>
        <v>0</v>
      </c>
    </row>
    <row r="180" spans="1:22" ht="14.5" x14ac:dyDescent="0.35">
      <c r="A180" s="18"/>
      <c r="B180" s="18"/>
      <c r="C180" s="18" t="s">
        <v>371</v>
      </c>
      <c r="D180" s="19" t="s">
        <v>372</v>
      </c>
      <c r="E180" s="8">
        <f>108</f>
        <v>108</v>
      </c>
      <c r="F180" s="21"/>
      <c r="G180" s="20"/>
      <c r="H180" s="8"/>
      <c r="I180" s="8"/>
      <c r="J180" s="21">
        <f>SUM(V175:V179)</f>
        <v>1122180.24</v>
      </c>
      <c r="K180" s="21"/>
    </row>
    <row r="181" spans="1:22" ht="14" x14ac:dyDescent="0.3">
      <c r="A181" s="25"/>
      <c r="B181" s="25"/>
      <c r="C181" s="25"/>
      <c r="D181" s="25"/>
      <c r="E181" s="25"/>
      <c r="F181" s="25"/>
      <c r="G181" s="25"/>
      <c r="H181" s="25"/>
      <c r="I181" s="52">
        <f>J176+J178+J180+SUM(J179:J179)</f>
        <v>3320503.33</v>
      </c>
      <c r="J181" s="52"/>
      <c r="K181" s="26">
        <f>IF(Source!I91&lt;&gt;0, ROUND(I181/Source!I91, 2), 0)</f>
        <v>21494.84</v>
      </c>
      <c r="P181" s="23">
        <f>I181</f>
        <v>3320503.33</v>
      </c>
    </row>
    <row r="182" spans="1:22" ht="28" x14ac:dyDescent="0.35">
      <c r="A182" s="18">
        <v>22</v>
      </c>
      <c r="B182" s="18" t="str">
        <f>Source!F95</f>
        <v>5.3-1101-10-1/1</v>
      </c>
      <c r="C182" s="18" t="str">
        <f>Source!G95</f>
        <v>Протирка садовых диванов и скамеек</v>
      </c>
      <c r="D182" s="19" t="str">
        <f>Source!H95</f>
        <v>100 м2</v>
      </c>
      <c r="E182" s="8">
        <f>Source!I95</f>
        <v>1.5824</v>
      </c>
      <c r="F182" s="21"/>
      <c r="G182" s="20"/>
      <c r="H182" s="8"/>
      <c r="I182" s="8"/>
      <c r="J182" s="21"/>
      <c r="K182" s="21"/>
      <c r="Q182">
        <f>ROUND((Source!BZ95/100)*ROUND((Source!AF95*Source!AV95)*Source!I95, 2), 2)</f>
        <v>73784.47</v>
      </c>
      <c r="R182">
        <f>Source!X95</f>
        <v>73784.47</v>
      </c>
      <c r="S182">
        <f>ROUND((Source!CA95/100)*ROUND((Source!AF95*Source!AV95)*Source!I95, 2), 2)</f>
        <v>10540.64</v>
      </c>
      <c r="T182">
        <f>Source!Y95</f>
        <v>10540.64</v>
      </c>
      <c r="U182">
        <f>ROUND((175/100)*ROUND((Source!AE95*Source!AV95)*Source!I95, 2), 2)</f>
        <v>0</v>
      </c>
      <c r="V182">
        <f>ROUND((108/100)*ROUND(Source!CS95*Source!I95, 2), 2)</f>
        <v>0</v>
      </c>
    </row>
    <row r="183" spans="1:22" ht="14.5" x14ac:dyDescent="0.35">
      <c r="A183" s="18"/>
      <c r="B183" s="18"/>
      <c r="C183" s="18" t="s">
        <v>373</v>
      </c>
      <c r="D183" s="19"/>
      <c r="E183" s="8"/>
      <c r="F183" s="21">
        <f>Source!AO95</f>
        <v>2378.9899999999998</v>
      </c>
      <c r="G183" s="20" t="str">
        <f>Source!DG95</f>
        <v>)*28</v>
      </c>
      <c r="H183" s="8">
        <f>Source!AV95</f>
        <v>1</v>
      </c>
      <c r="I183" s="8">
        <f>IF(Source!BA95&lt;&gt; 0, Source!BA95, 1)</f>
        <v>1</v>
      </c>
      <c r="J183" s="21">
        <f>Source!S95</f>
        <v>105406.39</v>
      </c>
      <c r="K183" s="21"/>
    </row>
    <row r="184" spans="1:22" ht="14.5" x14ac:dyDescent="0.35">
      <c r="A184" s="18"/>
      <c r="B184" s="18"/>
      <c r="C184" s="18" t="s">
        <v>378</v>
      </c>
      <c r="D184" s="19"/>
      <c r="E184" s="8"/>
      <c r="F184" s="21">
        <f>Source!AL95</f>
        <v>1.96</v>
      </c>
      <c r="G184" s="20" t="str">
        <f>Source!DD95</f>
        <v>)*28</v>
      </c>
      <c r="H184" s="8">
        <f>Source!AW95</f>
        <v>1</v>
      </c>
      <c r="I184" s="8">
        <f>IF(Source!BC95&lt;&gt; 0, Source!BC95, 1)</f>
        <v>1</v>
      </c>
      <c r="J184" s="21">
        <f>Source!P95</f>
        <v>86.84</v>
      </c>
      <c r="K184" s="21"/>
    </row>
    <row r="185" spans="1:22" ht="14.5" x14ac:dyDescent="0.35">
      <c r="A185" s="18" t="s">
        <v>182</v>
      </c>
      <c r="B185" s="18" t="str">
        <f>Source!F96</f>
        <v>21.1-25-13</v>
      </c>
      <c r="C185" s="18" t="str">
        <f>Source!G96</f>
        <v>Вода</v>
      </c>
      <c r="D185" s="19" t="str">
        <f>Source!H96</f>
        <v>м3</v>
      </c>
      <c r="E185" s="8">
        <f>Source!I96</f>
        <v>-0.44307200000000008</v>
      </c>
      <c r="F185" s="21">
        <f>Source!AK96</f>
        <v>54.81</v>
      </c>
      <c r="G185" s="27" t="s">
        <v>383</v>
      </c>
      <c r="H185" s="8">
        <f>Source!AW96</f>
        <v>1</v>
      </c>
      <c r="I185" s="8">
        <f>IF(Source!BC96&lt;&gt; 0, Source!BC96, 1)</f>
        <v>1</v>
      </c>
      <c r="J185" s="21">
        <f>Source!O96</f>
        <v>-24.28</v>
      </c>
      <c r="K185" s="21"/>
      <c r="Q185">
        <f>ROUND((Source!BZ96/100)*ROUND((Source!AF96*Source!AV96)*Source!I96, 2), 2)</f>
        <v>0</v>
      </c>
      <c r="R185">
        <f>Source!X96</f>
        <v>0</v>
      </c>
      <c r="S185">
        <f>ROUND((Source!CA96/100)*ROUND((Source!AF96*Source!AV96)*Source!I96, 2), 2)</f>
        <v>0</v>
      </c>
      <c r="T185">
        <f>Source!Y96</f>
        <v>0</v>
      </c>
      <c r="U185">
        <f>ROUND((175/100)*ROUND((Source!AE96*Source!AV96)*Source!I96, 2), 2)</f>
        <v>0</v>
      </c>
      <c r="V185">
        <f>ROUND((108/100)*ROUND(Source!CS96*Source!I96, 2), 2)</f>
        <v>0</v>
      </c>
    </row>
    <row r="186" spans="1:22" ht="14.5" x14ac:dyDescent="0.35">
      <c r="A186" s="18"/>
      <c r="B186" s="18"/>
      <c r="C186" s="18" t="s">
        <v>374</v>
      </c>
      <c r="D186" s="19" t="s">
        <v>372</v>
      </c>
      <c r="E186" s="8">
        <f>Source!AT95</f>
        <v>70</v>
      </c>
      <c r="F186" s="21"/>
      <c r="G186" s="20"/>
      <c r="H186" s="8"/>
      <c r="I186" s="8"/>
      <c r="J186" s="21">
        <f>SUM(R182:R185)</f>
        <v>73784.47</v>
      </c>
      <c r="K186" s="21"/>
    </row>
    <row r="187" spans="1:22" ht="14.5" x14ac:dyDescent="0.35">
      <c r="A187" s="18"/>
      <c r="B187" s="18"/>
      <c r="C187" s="18" t="s">
        <v>375</v>
      </c>
      <c r="D187" s="19" t="s">
        <v>372</v>
      </c>
      <c r="E187" s="8">
        <f>Source!AU95</f>
        <v>10</v>
      </c>
      <c r="F187" s="21"/>
      <c r="G187" s="20"/>
      <c r="H187" s="8"/>
      <c r="I187" s="8"/>
      <c r="J187" s="21">
        <f>SUM(T182:T186)</f>
        <v>10540.64</v>
      </c>
      <c r="K187" s="21"/>
    </row>
    <row r="188" spans="1:22" ht="14.5" x14ac:dyDescent="0.35">
      <c r="A188" s="18"/>
      <c r="B188" s="18"/>
      <c r="C188" s="18" t="s">
        <v>376</v>
      </c>
      <c r="D188" s="19" t="s">
        <v>377</v>
      </c>
      <c r="E188" s="8">
        <f>Source!AQ95</f>
        <v>5.25</v>
      </c>
      <c r="F188" s="21"/>
      <c r="G188" s="20" t="str">
        <f>Source!DI95</f>
        <v>)*28</v>
      </c>
      <c r="H188" s="8">
        <f>Source!AV95</f>
        <v>1</v>
      </c>
      <c r="I188" s="8"/>
      <c r="J188" s="21"/>
      <c r="K188" s="21">
        <f>Source!U95</f>
        <v>232.61279999999999</v>
      </c>
    </row>
    <row r="189" spans="1:22" ht="14" x14ac:dyDescent="0.3">
      <c r="A189" s="25"/>
      <c r="B189" s="25"/>
      <c r="C189" s="25"/>
      <c r="D189" s="25"/>
      <c r="E189" s="25"/>
      <c r="F189" s="25"/>
      <c r="G189" s="25"/>
      <c r="H189" s="25"/>
      <c r="I189" s="52">
        <f>J183+J184+J186+J187+SUM(J185:J185)</f>
        <v>189794.06000000003</v>
      </c>
      <c r="J189" s="52"/>
      <c r="K189" s="26">
        <f>IF(Source!I95&lt;&gt;0, ROUND(I189/Source!I95, 2), 0)</f>
        <v>119940.63</v>
      </c>
      <c r="P189" s="23">
        <f>I189</f>
        <v>189794.06000000003</v>
      </c>
    </row>
    <row r="190" spans="1:22" ht="42" x14ac:dyDescent="0.35">
      <c r="A190" s="18">
        <v>23</v>
      </c>
      <c r="B190" s="18" t="str">
        <f>Source!F99</f>
        <v>5.3-1101-12-1/1</v>
      </c>
      <c r="C190" s="18" t="str">
        <f>Source!G99</f>
        <v>Уход за урнами на придомовых и внутрибольничных территориях, очистка урн опрокидывающихся от мусора</v>
      </c>
      <c r="D190" s="19" t="str">
        <f>Source!H99</f>
        <v>100 шт.</v>
      </c>
      <c r="E190" s="8">
        <f>Source!I99</f>
        <v>1.27</v>
      </c>
      <c r="F190" s="21"/>
      <c r="G190" s="20"/>
      <c r="H190" s="8"/>
      <c r="I190" s="8"/>
      <c r="J190" s="21"/>
      <c r="K190" s="21"/>
      <c r="Q190">
        <f>ROUND((Source!BZ99/100)*ROUND((Source!AF99*Source!AV99)*Source!I99, 2), 2)</f>
        <v>180578.15</v>
      </c>
      <c r="R190">
        <f>Source!X99</f>
        <v>180578.15</v>
      </c>
      <c r="S190">
        <f>ROUND((Source!CA99/100)*ROUND((Source!AF99*Source!AV99)*Source!I99, 2), 2)</f>
        <v>25796.880000000001</v>
      </c>
      <c r="T190">
        <f>Source!Y99</f>
        <v>25796.880000000001</v>
      </c>
      <c r="U190">
        <f>ROUND((175/100)*ROUND((Source!AE99*Source!AV99)*Source!I99, 2), 2)</f>
        <v>0</v>
      </c>
      <c r="V190">
        <f>ROUND((108/100)*ROUND(Source!CS99*Source!I99, 2), 2)</f>
        <v>0</v>
      </c>
    </row>
    <row r="191" spans="1:22" x14ac:dyDescent="0.25">
      <c r="C191" s="30" t="str">
        <f>"Объем: "&amp;Source!I99&amp;"=127/"&amp;"100"</f>
        <v>Объем: 1,27=127/100</v>
      </c>
    </row>
    <row r="192" spans="1:22" ht="14.5" x14ac:dyDescent="0.35">
      <c r="A192" s="18"/>
      <c r="B192" s="18"/>
      <c r="C192" s="18" t="s">
        <v>373</v>
      </c>
      <c r="D192" s="19"/>
      <c r="E192" s="8"/>
      <c r="F192" s="21">
        <f>Source!AO99</f>
        <v>1092.07</v>
      </c>
      <c r="G192" s="20" t="str">
        <f>Source!DG99</f>
        <v>)*186</v>
      </c>
      <c r="H192" s="8">
        <f>Source!AV99</f>
        <v>1</v>
      </c>
      <c r="I192" s="8">
        <f>IF(Source!BA99&lt;&gt; 0, Source!BA99, 1)</f>
        <v>1</v>
      </c>
      <c r="J192" s="21">
        <f>Source!S99</f>
        <v>257968.78</v>
      </c>
      <c r="K192" s="21"/>
    </row>
    <row r="193" spans="1:22" ht="14.5" x14ac:dyDescent="0.35">
      <c r="A193" s="18"/>
      <c r="B193" s="18"/>
      <c r="C193" s="18" t="s">
        <v>378</v>
      </c>
      <c r="D193" s="19"/>
      <c r="E193" s="8"/>
      <c r="F193" s="21">
        <f>Source!AL99</f>
        <v>275</v>
      </c>
      <c r="G193" s="20" t="str">
        <f>Source!DD99</f>
        <v>)*186</v>
      </c>
      <c r="H193" s="8">
        <f>Source!AW99</f>
        <v>1</v>
      </c>
      <c r="I193" s="8">
        <f>IF(Source!BC99&lt;&gt; 0, Source!BC99, 1)</f>
        <v>1</v>
      </c>
      <c r="J193" s="21">
        <f>Source!P99</f>
        <v>64960.5</v>
      </c>
      <c r="K193" s="21"/>
    </row>
    <row r="194" spans="1:22" ht="14.5" x14ac:dyDescent="0.35">
      <c r="A194" s="18"/>
      <c r="B194" s="18"/>
      <c r="C194" s="18" t="s">
        <v>374</v>
      </c>
      <c r="D194" s="19" t="s">
        <v>372</v>
      </c>
      <c r="E194" s="8">
        <f>Source!AT99</f>
        <v>70</v>
      </c>
      <c r="F194" s="21"/>
      <c r="G194" s="20"/>
      <c r="H194" s="8"/>
      <c r="I194" s="8"/>
      <c r="J194" s="21">
        <f>SUM(R190:R193)</f>
        <v>180578.15</v>
      </c>
      <c r="K194" s="21"/>
    </row>
    <row r="195" spans="1:22" ht="14.5" x14ac:dyDescent="0.35">
      <c r="A195" s="18"/>
      <c r="B195" s="18"/>
      <c r="C195" s="18" t="s">
        <v>375</v>
      </c>
      <c r="D195" s="19" t="s">
        <v>372</v>
      </c>
      <c r="E195" s="8">
        <f>Source!AU99</f>
        <v>10</v>
      </c>
      <c r="F195" s="21"/>
      <c r="G195" s="20"/>
      <c r="H195" s="8"/>
      <c r="I195" s="8"/>
      <c r="J195" s="21">
        <f>SUM(T190:T194)</f>
        <v>25796.880000000001</v>
      </c>
      <c r="K195" s="21"/>
    </row>
    <row r="196" spans="1:22" ht="14.5" x14ac:dyDescent="0.35">
      <c r="A196" s="18"/>
      <c r="B196" s="18"/>
      <c r="C196" s="18" t="s">
        <v>376</v>
      </c>
      <c r="D196" s="19" t="s">
        <v>377</v>
      </c>
      <c r="E196" s="8">
        <f>Source!AQ99</f>
        <v>2.41</v>
      </c>
      <c r="F196" s="21"/>
      <c r="G196" s="20" t="str">
        <f>Source!DI99</f>
        <v>)*186</v>
      </c>
      <c r="H196" s="8">
        <f>Source!AV99</f>
        <v>1</v>
      </c>
      <c r="I196" s="8"/>
      <c r="J196" s="21"/>
      <c r="K196" s="21">
        <f>Source!U99</f>
        <v>569.29020000000003</v>
      </c>
    </row>
    <row r="197" spans="1:22" ht="14" x14ac:dyDescent="0.3">
      <c r="A197" s="25"/>
      <c r="B197" s="25"/>
      <c r="C197" s="25"/>
      <c r="D197" s="25"/>
      <c r="E197" s="25"/>
      <c r="F197" s="25"/>
      <c r="G197" s="25"/>
      <c r="H197" s="25"/>
      <c r="I197" s="52">
        <f>J192+J193+J194+J195</f>
        <v>529304.31000000006</v>
      </c>
      <c r="J197" s="52"/>
      <c r="K197" s="26">
        <f>IF(Source!I99&lt;&gt;0, ROUND(I197/Source!I99, 2), 0)</f>
        <v>416775.05</v>
      </c>
      <c r="P197" s="23">
        <f>I197</f>
        <v>529304.31000000006</v>
      </c>
    </row>
    <row r="198" spans="1:22" ht="42" x14ac:dyDescent="0.35">
      <c r="A198" s="18">
        <v>24</v>
      </c>
      <c r="B198" s="18" t="str">
        <f>Source!F100</f>
        <v>5.3-1101-12-3/1</v>
      </c>
      <c r="C198" s="18" t="str">
        <f>Source!G100</f>
        <v>Уход за урнами на придомовых и внутрибольничных территориях, промывка урн опрокидывающихся</v>
      </c>
      <c r="D198" s="19" t="str">
        <f>Source!H100</f>
        <v>100 шт.</v>
      </c>
      <c r="E198" s="8">
        <f>Source!I100</f>
        <v>1.27</v>
      </c>
      <c r="F198" s="21"/>
      <c r="G198" s="20"/>
      <c r="H198" s="8"/>
      <c r="I198" s="8"/>
      <c r="J198" s="21"/>
      <c r="K198" s="21"/>
      <c r="Q198">
        <f>ROUND((Source!BZ100/100)*ROUND((Source!AF100*Source!AV100)*Source!I100, 2), 2)</f>
        <v>66771.03</v>
      </c>
      <c r="R198">
        <f>Source!X100</f>
        <v>66771.03</v>
      </c>
      <c r="S198">
        <f>ROUND((Source!CA100/100)*ROUND((Source!AF100*Source!AV100)*Source!I100, 2), 2)</f>
        <v>9538.7199999999993</v>
      </c>
      <c r="T198">
        <f>Source!Y100</f>
        <v>9538.7199999999993</v>
      </c>
      <c r="U198">
        <f>ROUND((175/100)*ROUND((Source!AE100*Source!AV100)*Source!I100, 2), 2)</f>
        <v>0</v>
      </c>
      <c r="V198">
        <f>ROUND((108/100)*ROUND(Source!CS100*Source!I100, 2), 2)</f>
        <v>0</v>
      </c>
    </row>
    <row r="199" spans="1:22" x14ac:dyDescent="0.25">
      <c r="C199" s="30" t="str">
        <f>"Объем: "&amp;Source!I100&amp;"=127/"&amp;"100"</f>
        <v>Объем: 1,27=127/100</v>
      </c>
    </row>
    <row r="200" spans="1:22" ht="14.5" x14ac:dyDescent="0.35">
      <c r="A200" s="18"/>
      <c r="B200" s="18"/>
      <c r="C200" s="18" t="s">
        <v>373</v>
      </c>
      <c r="D200" s="19"/>
      <c r="E200" s="8"/>
      <c r="F200" s="21">
        <f>Source!AO100</f>
        <v>5777.54</v>
      </c>
      <c r="G200" s="20" t="str">
        <f>Source!DG100</f>
        <v>)*13</v>
      </c>
      <c r="H200" s="8">
        <f>Source!AV100</f>
        <v>1</v>
      </c>
      <c r="I200" s="8">
        <f>IF(Source!BA100&lt;&gt; 0, Source!BA100, 1)</f>
        <v>1</v>
      </c>
      <c r="J200" s="21">
        <f>Source!S100</f>
        <v>95387.19</v>
      </c>
      <c r="K200" s="21"/>
    </row>
    <row r="201" spans="1:22" ht="14.5" x14ac:dyDescent="0.35">
      <c r="A201" s="18"/>
      <c r="B201" s="18"/>
      <c r="C201" s="18" t="s">
        <v>378</v>
      </c>
      <c r="D201" s="19"/>
      <c r="E201" s="8"/>
      <c r="F201" s="21">
        <f>Source!AL100</f>
        <v>5687.69</v>
      </c>
      <c r="G201" s="20" t="str">
        <f>Source!DD100</f>
        <v>)*13</v>
      </c>
      <c r="H201" s="8">
        <f>Source!AW100</f>
        <v>1</v>
      </c>
      <c r="I201" s="8">
        <f>IF(Source!BC100&lt;&gt; 0, Source!BC100, 1)</f>
        <v>1</v>
      </c>
      <c r="J201" s="21">
        <f>Source!P100</f>
        <v>93903.76</v>
      </c>
      <c r="K201" s="21"/>
    </row>
    <row r="202" spans="1:22" ht="14.5" x14ac:dyDescent="0.35">
      <c r="A202" s="18" t="s">
        <v>190</v>
      </c>
      <c r="B202" s="18" t="str">
        <f>Source!F101</f>
        <v>21.1-25-13</v>
      </c>
      <c r="C202" s="18" t="str">
        <f>Source!G101</f>
        <v>Вода</v>
      </c>
      <c r="D202" s="19" t="str">
        <f>Source!H101</f>
        <v>м3</v>
      </c>
      <c r="E202" s="8">
        <f>Source!I101</f>
        <v>-24.765000000000001</v>
      </c>
      <c r="F202" s="21">
        <f>Source!AK101</f>
        <v>54.81</v>
      </c>
      <c r="G202" s="27" t="s">
        <v>384</v>
      </c>
      <c r="H202" s="8">
        <f>Source!AW101</f>
        <v>1</v>
      </c>
      <c r="I202" s="8">
        <f>IF(Source!BC101&lt;&gt; 0, Source!BC101, 1)</f>
        <v>1</v>
      </c>
      <c r="J202" s="21">
        <f>Source!O101</f>
        <v>-1357.37</v>
      </c>
      <c r="K202" s="21"/>
      <c r="Q202">
        <f>ROUND((Source!BZ101/100)*ROUND((Source!AF101*Source!AV101)*Source!I101, 2), 2)</f>
        <v>0</v>
      </c>
      <c r="R202">
        <f>Source!X101</f>
        <v>0</v>
      </c>
      <c r="S202">
        <f>ROUND((Source!CA101/100)*ROUND((Source!AF101*Source!AV101)*Source!I101, 2), 2)</f>
        <v>0</v>
      </c>
      <c r="T202">
        <f>Source!Y101</f>
        <v>0</v>
      </c>
      <c r="U202">
        <f>ROUND((175/100)*ROUND((Source!AE101*Source!AV101)*Source!I101, 2), 2)</f>
        <v>0</v>
      </c>
      <c r="V202">
        <f>ROUND((108/100)*ROUND(Source!CS101*Source!I101, 2), 2)</f>
        <v>0</v>
      </c>
    </row>
    <row r="203" spans="1:22" ht="14.5" x14ac:dyDescent="0.35">
      <c r="A203" s="18"/>
      <c r="B203" s="18"/>
      <c r="C203" s="18" t="s">
        <v>374</v>
      </c>
      <c r="D203" s="19" t="s">
        <v>372</v>
      </c>
      <c r="E203" s="8">
        <f>Source!AT100</f>
        <v>70</v>
      </c>
      <c r="F203" s="21"/>
      <c r="G203" s="20"/>
      <c r="H203" s="8"/>
      <c r="I203" s="8"/>
      <c r="J203" s="21">
        <f>SUM(R198:R202)</f>
        <v>66771.03</v>
      </c>
      <c r="K203" s="21"/>
    </row>
    <row r="204" spans="1:22" ht="14.5" x14ac:dyDescent="0.35">
      <c r="A204" s="18"/>
      <c r="B204" s="18"/>
      <c r="C204" s="18" t="s">
        <v>375</v>
      </c>
      <c r="D204" s="19" t="s">
        <v>372</v>
      </c>
      <c r="E204" s="8">
        <f>Source!AU100</f>
        <v>10</v>
      </c>
      <c r="F204" s="21"/>
      <c r="G204" s="20"/>
      <c r="H204" s="8"/>
      <c r="I204" s="8"/>
      <c r="J204" s="21">
        <f>SUM(T198:T203)</f>
        <v>9538.7199999999993</v>
      </c>
      <c r="K204" s="21"/>
    </row>
    <row r="205" spans="1:22" ht="14.5" x14ac:dyDescent="0.35">
      <c r="A205" s="18"/>
      <c r="B205" s="18"/>
      <c r="C205" s="18" t="s">
        <v>376</v>
      </c>
      <c r="D205" s="19" t="s">
        <v>377</v>
      </c>
      <c r="E205" s="8">
        <f>Source!AQ100</f>
        <v>12.75</v>
      </c>
      <c r="F205" s="21"/>
      <c r="G205" s="20" t="str">
        <f>Source!DI100</f>
        <v>)*13</v>
      </c>
      <c r="H205" s="8">
        <f>Source!AV100</f>
        <v>1</v>
      </c>
      <c r="I205" s="8"/>
      <c r="J205" s="21"/>
      <c r="K205" s="21">
        <f>Source!U100</f>
        <v>210.5025</v>
      </c>
    </row>
    <row r="206" spans="1:22" ht="14" x14ac:dyDescent="0.3">
      <c r="A206" s="25"/>
      <c r="B206" s="25"/>
      <c r="C206" s="25"/>
      <c r="D206" s="25"/>
      <c r="E206" s="25"/>
      <c r="F206" s="25"/>
      <c r="G206" s="25"/>
      <c r="H206" s="25"/>
      <c r="I206" s="52">
        <f>J200+J201+J203+J204+SUM(J202:J202)</f>
        <v>264243.33</v>
      </c>
      <c r="J206" s="52"/>
      <c r="K206" s="26">
        <f>IF(Source!I100&lt;&gt;0, ROUND(I206/Source!I100, 2), 0)</f>
        <v>208065.61</v>
      </c>
      <c r="P206" s="23">
        <f>I206</f>
        <v>264243.33</v>
      </c>
    </row>
    <row r="207" spans="1:22" ht="28" x14ac:dyDescent="0.35">
      <c r="A207" s="18">
        <v>25</v>
      </c>
      <c r="B207" s="18" t="str">
        <f>Source!F102</f>
        <v>5.3-1101-11-1/1</v>
      </c>
      <c r="C207" s="18" t="str">
        <f>Source!G102</f>
        <v>Подметание контейнерной площадки с уборкой мусора</v>
      </c>
      <c r="D207" s="19" t="str">
        <f>Source!H102</f>
        <v>10 м2</v>
      </c>
      <c r="E207" s="8">
        <f>Source!I102</f>
        <v>4.68</v>
      </c>
      <c r="F207" s="21"/>
      <c r="G207" s="20"/>
      <c r="H207" s="8"/>
      <c r="I207" s="8"/>
      <c r="J207" s="21"/>
      <c r="K207" s="21"/>
      <c r="Q207">
        <f>ROUND((Source!BZ102/100)*ROUND((Source!AF102*Source!AV102)*Source!I102, 2), 2)</f>
        <v>88622.55</v>
      </c>
      <c r="R207">
        <f>Source!X102</f>
        <v>88622.55</v>
      </c>
      <c r="S207">
        <f>ROUND((Source!CA102/100)*ROUND((Source!AF102*Source!AV102)*Source!I102, 2), 2)</f>
        <v>12660.36</v>
      </c>
      <c r="T207">
        <f>Source!Y102</f>
        <v>12660.36</v>
      </c>
      <c r="U207">
        <f>ROUND((175/100)*ROUND((Source!AE102*Source!AV102)*Source!I102, 2), 2)</f>
        <v>0</v>
      </c>
      <c r="V207">
        <f>ROUND((108/100)*ROUND(Source!CS102*Source!I102, 2), 2)</f>
        <v>0</v>
      </c>
    </row>
    <row r="208" spans="1:22" ht="14.5" x14ac:dyDescent="0.35">
      <c r="A208" s="18"/>
      <c r="B208" s="18"/>
      <c r="C208" s="18" t="s">
        <v>373</v>
      </c>
      <c r="D208" s="19"/>
      <c r="E208" s="8"/>
      <c r="F208" s="21">
        <f>Source!AO102</f>
        <v>135.94</v>
      </c>
      <c r="G208" s="20" t="str">
        <f>Source!DG102</f>
        <v>)*199</v>
      </c>
      <c r="H208" s="8">
        <f>Source!AV102</f>
        <v>1</v>
      </c>
      <c r="I208" s="8">
        <f>IF(Source!BA102&lt;&gt; 0, Source!BA102, 1)</f>
        <v>1</v>
      </c>
      <c r="J208" s="21">
        <f>Source!S102</f>
        <v>126603.64</v>
      </c>
      <c r="K208" s="21"/>
    </row>
    <row r="209" spans="1:22" ht="14.5" x14ac:dyDescent="0.35">
      <c r="A209" s="18"/>
      <c r="B209" s="18"/>
      <c r="C209" s="18" t="s">
        <v>374</v>
      </c>
      <c r="D209" s="19" t="s">
        <v>372</v>
      </c>
      <c r="E209" s="8">
        <f>Source!AT102</f>
        <v>70</v>
      </c>
      <c r="F209" s="21"/>
      <c r="G209" s="20"/>
      <c r="H209" s="8"/>
      <c r="I209" s="8"/>
      <c r="J209" s="21">
        <f>SUM(R207:R208)</f>
        <v>88622.55</v>
      </c>
      <c r="K209" s="21"/>
    </row>
    <row r="210" spans="1:22" ht="14.5" x14ac:dyDescent="0.35">
      <c r="A210" s="18"/>
      <c r="B210" s="18"/>
      <c r="C210" s="18" t="s">
        <v>375</v>
      </c>
      <c r="D210" s="19" t="s">
        <v>372</v>
      </c>
      <c r="E210" s="8">
        <f>Source!AU102</f>
        <v>10</v>
      </c>
      <c r="F210" s="21"/>
      <c r="G210" s="20"/>
      <c r="H210" s="8"/>
      <c r="I210" s="8"/>
      <c r="J210" s="21">
        <f>SUM(T207:T209)</f>
        <v>12660.36</v>
      </c>
      <c r="K210" s="21"/>
    </row>
    <row r="211" spans="1:22" ht="14.5" x14ac:dyDescent="0.35">
      <c r="A211" s="18"/>
      <c r="B211" s="18"/>
      <c r="C211" s="18" t="s">
        <v>376</v>
      </c>
      <c r="D211" s="19" t="s">
        <v>377</v>
      </c>
      <c r="E211" s="8">
        <f>Source!AQ102</f>
        <v>0.3</v>
      </c>
      <c r="F211" s="21"/>
      <c r="G211" s="20" t="str">
        <f>Source!DI102</f>
        <v>)*199</v>
      </c>
      <c r="H211" s="8">
        <f>Source!AV102</f>
        <v>1</v>
      </c>
      <c r="I211" s="8"/>
      <c r="J211" s="21"/>
      <c r="K211" s="21">
        <f>Source!U102</f>
        <v>279.39599999999996</v>
      </c>
    </row>
    <row r="212" spans="1:22" ht="14" x14ac:dyDescent="0.3">
      <c r="A212" s="25"/>
      <c r="B212" s="25"/>
      <c r="C212" s="25"/>
      <c r="D212" s="25"/>
      <c r="E212" s="25"/>
      <c r="F212" s="25"/>
      <c r="G212" s="25"/>
      <c r="H212" s="25"/>
      <c r="I212" s="52">
        <f>J208+J209+J210</f>
        <v>227886.55</v>
      </c>
      <c r="J212" s="52"/>
      <c r="K212" s="26">
        <f>IF(Source!I102&lt;&gt;0, ROUND(I212/Source!I102, 2), 0)</f>
        <v>48693.71</v>
      </c>
      <c r="P212" s="23">
        <f>I212</f>
        <v>227886.55</v>
      </c>
    </row>
    <row r="213" spans="1:22" ht="42" x14ac:dyDescent="0.35">
      <c r="A213" s="18">
        <v>26</v>
      </c>
      <c r="B213" s="18" t="str">
        <f>Source!F103</f>
        <v>5.3-1101-4-2/1</v>
      </c>
      <c r="C213" s="18" t="str">
        <f>Source!G103</f>
        <v>Промывка оград металлических простого рисунка от пыли и грязи водой под напором</v>
      </c>
      <c r="D213" s="19" t="str">
        <f>Source!H103</f>
        <v>100 м2</v>
      </c>
      <c r="E213" s="8">
        <f>Source!I103</f>
        <v>14.087</v>
      </c>
      <c r="F213" s="21"/>
      <c r="G213" s="20"/>
      <c r="H213" s="8"/>
      <c r="I213" s="8"/>
      <c r="J213" s="21"/>
      <c r="K213" s="21"/>
      <c r="Q213">
        <f>ROUND((Source!BZ103/100)*ROUND((Source!AF103*Source!AV103)*Source!I103, 2), 2)</f>
        <v>28150.9</v>
      </c>
      <c r="R213">
        <f>Source!X103</f>
        <v>28150.9</v>
      </c>
      <c r="S213">
        <f>ROUND((Source!CA103/100)*ROUND((Source!AF103*Source!AV103)*Source!I103, 2), 2)</f>
        <v>4021.56</v>
      </c>
      <c r="T213">
        <f>Source!Y103</f>
        <v>4021.56</v>
      </c>
      <c r="U213">
        <f>ROUND((175/100)*ROUND((Source!AE103*Source!AV103)*Source!I103, 2), 2)</f>
        <v>157031.14000000001</v>
      </c>
      <c r="V213">
        <f>ROUND((108/100)*ROUND(Source!CS103*Source!I103, 2), 2)</f>
        <v>96910.65</v>
      </c>
    </row>
    <row r="214" spans="1:22" ht="14.5" x14ac:dyDescent="0.35">
      <c r="A214" s="18"/>
      <c r="B214" s="18"/>
      <c r="C214" s="18" t="s">
        <v>373</v>
      </c>
      <c r="D214" s="19"/>
      <c r="E214" s="8"/>
      <c r="F214" s="21">
        <f>Source!AO103</f>
        <v>570.96</v>
      </c>
      <c r="G214" s="20" t="str">
        <f>Source!DG103</f>
        <v>)*5</v>
      </c>
      <c r="H214" s="8">
        <f>Source!AV103</f>
        <v>1</v>
      </c>
      <c r="I214" s="8">
        <f>IF(Source!BA103&lt;&gt; 0, Source!BA103, 1)</f>
        <v>1</v>
      </c>
      <c r="J214" s="21">
        <f>Source!S103</f>
        <v>40215.57</v>
      </c>
      <c r="K214" s="21"/>
    </row>
    <row r="215" spans="1:22" ht="14.5" x14ac:dyDescent="0.35">
      <c r="A215" s="18"/>
      <c r="B215" s="18"/>
      <c r="C215" s="18" t="s">
        <v>369</v>
      </c>
      <c r="D215" s="19"/>
      <c r="E215" s="8"/>
      <c r="F215" s="21">
        <f>Source!AM103</f>
        <v>2907.09</v>
      </c>
      <c r="G215" s="20" t="str">
        <f>Source!DE103</f>
        <v>)*5</v>
      </c>
      <c r="H215" s="8">
        <f>Source!AV103</f>
        <v>1</v>
      </c>
      <c r="I215" s="8">
        <f>IF(Source!BB103&lt;&gt; 0, Source!BB103, 1)</f>
        <v>1</v>
      </c>
      <c r="J215" s="21">
        <f>Source!Q103</f>
        <v>204760.88</v>
      </c>
      <c r="K215" s="21"/>
    </row>
    <row r="216" spans="1:22" ht="14.5" x14ac:dyDescent="0.35">
      <c r="A216" s="18"/>
      <c r="B216" s="18"/>
      <c r="C216" s="18" t="s">
        <v>370</v>
      </c>
      <c r="D216" s="19"/>
      <c r="E216" s="8"/>
      <c r="F216" s="21">
        <f>Source!AN103</f>
        <v>1273.97</v>
      </c>
      <c r="G216" s="20" t="str">
        <f>Source!DF103</f>
        <v>)*5</v>
      </c>
      <c r="H216" s="8">
        <f>Source!AV103</f>
        <v>1</v>
      </c>
      <c r="I216" s="8">
        <f>IF(Source!BS103&lt;&gt; 0, Source!BS103, 1)</f>
        <v>1</v>
      </c>
      <c r="J216" s="22">
        <f>Source!R103</f>
        <v>89732.08</v>
      </c>
      <c r="K216" s="21"/>
    </row>
    <row r="217" spans="1:22" ht="14.5" x14ac:dyDescent="0.35">
      <c r="A217" s="18"/>
      <c r="B217" s="18"/>
      <c r="C217" s="18" t="s">
        <v>378</v>
      </c>
      <c r="D217" s="19"/>
      <c r="E217" s="8"/>
      <c r="F217" s="21">
        <f>Source!AL103</f>
        <v>43.85</v>
      </c>
      <c r="G217" s="20" t="str">
        <f>Source!DD103</f>
        <v>)*5</v>
      </c>
      <c r="H217" s="8">
        <f>Source!AW103</f>
        <v>1</v>
      </c>
      <c r="I217" s="8">
        <f>IF(Source!BC103&lt;&gt; 0, Source!BC103, 1)</f>
        <v>1</v>
      </c>
      <c r="J217" s="21">
        <f>Source!P103</f>
        <v>3088.57</v>
      </c>
      <c r="K217" s="21"/>
    </row>
    <row r="218" spans="1:22" ht="14.5" x14ac:dyDescent="0.35">
      <c r="A218" s="18"/>
      <c r="B218" s="18"/>
      <c r="C218" s="18" t="s">
        <v>374</v>
      </c>
      <c r="D218" s="19" t="s">
        <v>372</v>
      </c>
      <c r="E218" s="8">
        <f>Source!AT103</f>
        <v>70</v>
      </c>
      <c r="F218" s="21"/>
      <c r="G218" s="20"/>
      <c r="H218" s="8"/>
      <c r="I218" s="8"/>
      <c r="J218" s="21">
        <f>SUM(R213:R217)</f>
        <v>28150.9</v>
      </c>
      <c r="K218" s="21"/>
    </row>
    <row r="219" spans="1:22" ht="14.5" x14ac:dyDescent="0.35">
      <c r="A219" s="18"/>
      <c r="B219" s="18"/>
      <c r="C219" s="18" t="s">
        <v>375</v>
      </c>
      <c r="D219" s="19" t="s">
        <v>372</v>
      </c>
      <c r="E219" s="8">
        <f>Source!AU103</f>
        <v>10</v>
      </c>
      <c r="F219" s="21"/>
      <c r="G219" s="20"/>
      <c r="H219" s="8"/>
      <c r="I219" s="8"/>
      <c r="J219" s="21">
        <f>SUM(T213:T218)</f>
        <v>4021.56</v>
      </c>
      <c r="K219" s="21"/>
    </row>
    <row r="220" spans="1:22" ht="14.5" x14ac:dyDescent="0.35">
      <c r="A220" s="18"/>
      <c r="B220" s="18"/>
      <c r="C220" s="18" t="s">
        <v>371</v>
      </c>
      <c r="D220" s="19" t="s">
        <v>372</v>
      </c>
      <c r="E220" s="8">
        <f>108</f>
        <v>108</v>
      </c>
      <c r="F220" s="21"/>
      <c r="G220" s="20"/>
      <c r="H220" s="8"/>
      <c r="I220" s="8"/>
      <c r="J220" s="21">
        <f>SUM(V213:V219)</f>
        <v>96910.65</v>
      </c>
      <c r="K220" s="21"/>
    </row>
    <row r="221" spans="1:22" ht="14.5" x14ac:dyDescent="0.35">
      <c r="A221" s="18"/>
      <c r="B221" s="18"/>
      <c r="C221" s="18" t="s">
        <v>376</v>
      </c>
      <c r="D221" s="19" t="s">
        <v>377</v>
      </c>
      <c r="E221" s="8">
        <f>Source!AQ103</f>
        <v>1.26</v>
      </c>
      <c r="F221" s="21"/>
      <c r="G221" s="20" t="str">
        <f>Source!DI103</f>
        <v>)*5</v>
      </c>
      <c r="H221" s="8">
        <f>Source!AV103</f>
        <v>1</v>
      </c>
      <c r="I221" s="8"/>
      <c r="J221" s="21"/>
      <c r="K221" s="21">
        <f>Source!U103</f>
        <v>88.748099999999994</v>
      </c>
    </row>
    <row r="222" spans="1:22" ht="14" x14ac:dyDescent="0.3">
      <c r="A222" s="25"/>
      <c r="B222" s="25"/>
      <c r="C222" s="25"/>
      <c r="D222" s="25"/>
      <c r="E222" s="25"/>
      <c r="F222" s="25"/>
      <c r="G222" s="25"/>
      <c r="H222" s="25"/>
      <c r="I222" s="52">
        <f>J214+J215+J217+J218+J219+J220</f>
        <v>377148.13</v>
      </c>
      <c r="J222" s="52"/>
      <c r="K222" s="26">
        <f>IF(Source!I103&lt;&gt;0, ROUND(I222/Source!I103, 2), 0)</f>
        <v>26772.78</v>
      </c>
      <c r="P222" s="23">
        <f>I222</f>
        <v>377148.13</v>
      </c>
    </row>
    <row r="224" spans="1:22" ht="14" x14ac:dyDescent="0.3">
      <c r="A224" s="55" t="str">
        <f>CONCATENATE("Итого по подразделу: ",IF(Source!G105&lt;&gt;"Новый подраздел", Source!G105, ""))</f>
        <v xml:space="preserve">Итого по подразделу: Подраздел: ЛЕТНЯЯ УБОРКА </v>
      </c>
      <c r="B224" s="55"/>
      <c r="C224" s="55"/>
      <c r="D224" s="55"/>
      <c r="E224" s="55"/>
      <c r="F224" s="55"/>
      <c r="G224" s="55"/>
      <c r="H224" s="55"/>
      <c r="I224" s="53">
        <f>SUM(P154:P223)</f>
        <v>26677202.279999994</v>
      </c>
      <c r="J224" s="54"/>
      <c r="K224" s="28"/>
    </row>
    <row r="227" spans="1:22" ht="16.5" x14ac:dyDescent="0.35">
      <c r="A227" s="51" t="str">
        <f>CONCATENATE("Подраздел: ",IF(Source!G135&lt;&gt;"Новый подраздел", Source!G135, ""))</f>
        <v>Подраздел: Подраздел: УХОД ЗА ЗЕЛЕНЫМИ НАСАЖДЕНИЯМИ</v>
      </c>
      <c r="B227" s="51"/>
      <c r="C227" s="51"/>
      <c r="D227" s="51"/>
      <c r="E227" s="51"/>
      <c r="F227" s="51"/>
      <c r="G227" s="51"/>
      <c r="H227" s="51"/>
      <c r="I227" s="51"/>
      <c r="J227" s="51"/>
      <c r="K227" s="51"/>
    </row>
    <row r="228" spans="1:22" ht="28" x14ac:dyDescent="0.35">
      <c r="A228" s="18">
        <v>27</v>
      </c>
      <c r="B228" s="18" t="str">
        <f>Source!F139</f>
        <v>5.4-1201-3-2/1</v>
      </c>
      <c r="C228" s="18" t="str">
        <f>Source!G139</f>
        <v>Уборка газонов от опавших листьев и мусора пневмомашиной</v>
      </c>
      <c r="D228" s="19" t="str">
        <f>Source!H139</f>
        <v>100 м2</v>
      </c>
      <c r="E228" s="8">
        <f>Source!I139</f>
        <v>618.91</v>
      </c>
      <c r="F228" s="21"/>
      <c r="G228" s="20"/>
      <c r="H228" s="8"/>
      <c r="I228" s="8"/>
      <c r="J228" s="21"/>
      <c r="K228" s="21"/>
      <c r="Q228">
        <f>ROUND((Source!BZ139/100)*ROUND((Source!AF139*Source!AV139)*Source!I139, 2), 2)</f>
        <v>115825.91</v>
      </c>
      <c r="R228">
        <f>Source!X139</f>
        <v>115825.91</v>
      </c>
      <c r="S228">
        <f>ROUND((Source!CA139/100)*ROUND((Source!AF139*Source!AV139)*Source!I139, 2), 2)</f>
        <v>16546.560000000001</v>
      </c>
      <c r="T228">
        <f>Source!Y139</f>
        <v>16546.560000000001</v>
      </c>
      <c r="U228">
        <f>ROUND((175/100)*ROUND((Source!AE139*Source!AV139)*Source!I139, 2), 2)</f>
        <v>75.81</v>
      </c>
      <c r="V228">
        <f>ROUND((108/100)*ROUND(Source!CS139*Source!I139, 2), 2)</f>
        <v>46.79</v>
      </c>
    </row>
    <row r="229" spans="1:22" x14ac:dyDescent="0.25">
      <c r="C229" s="30" t="str">
        <f>"Объем: "&amp;Source!I139&amp;"=61891/"&amp;"100"</f>
        <v>Объем: 618,91=61891/100</v>
      </c>
    </row>
    <row r="230" spans="1:22" ht="14.5" x14ac:dyDescent="0.35">
      <c r="A230" s="18"/>
      <c r="B230" s="18"/>
      <c r="C230" s="18" t="s">
        <v>373</v>
      </c>
      <c r="D230" s="19"/>
      <c r="E230" s="8"/>
      <c r="F230" s="21">
        <f>Source!AO139</f>
        <v>267.35000000000002</v>
      </c>
      <c r="G230" s="20" t="str">
        <f>Source!DG139</f>
        <v/>
      </c>
      <c r="H230" s="8">
        <f>Source!AV139</f>
        <v>1</v>
      </c>
      <c r="I230" s="8">
        <f>IF(Source!BA139&lt;&gt; 0, Source!BA139, 1)</f>
        <v>1</v>
      </c>
      <c r="J230" s="21">
        <f>Source!S139</f>
        <v>165465.59</v>
      </c>
      <c r="K230" s="21"/>
    </row>
    <row r="231" spans="1:22" ht="14.5" x14ac:dyDescent="0.35">
      <c r="A231" s="18"/>
      <c r="B231" s="18"/>
      <c r="C231" s="18" t="s">
        <v>369</v>
      </c>
      <c r="D231" s="19"/>
      <c r="E231" s="8"/>
      <c r="F231" s="21">
        <f>Source!AM139</f>
        <v>7.04</v>
      </c>
      <c r="G231" s="20" t="str">
        <f>Source!DE139</f>
        <v/>
      </c>
      <c r="H231" s="8">
        <f>Source!AV139</f>
        <v>1</v>
      </c>
      <c r="I231" s="8">
        <f>IF(Source!BB139&lt;&gt; 0, Source!BB139, 1)</f>
        <v>1</v>
      </c>
      <c r="J231" s="21">
        <f>Source!Q139</f>
        <v>4357.13</v>
      </c>
      <c r="K231" s="21"/>
    </row>
    <row r="232" spans="1:22" ht="14.5" x14ac:dyDescent="0.35">
      <c r="A232" s="18"/>
      <c r="B232" s="18"/>
      <c r="C232" s="18" t="s">
        <v>370</v>
      </c>
      <c r="D232" s="19"/>
      <c r="E232" s="8"/>
      <c r="F232" s="21">
        <f>Source!AN139</f>
        <v>7.0000000000000007E-2</v>
      </c>
      <c r="G232" s="20" t="str">
        <f>Source!DF139</f>
        <v/>
      </c>
      <c r="H232" s="8">
        <f>Source!AV139</f>
        <v>1</v>
      </c>
      <c r="I232" s="8">
        <f>IF(Source!BS139&lt;&gt; 0, Source!BS139, 1)</f>
        <v>1</v>
      </c>
      <c r="J232" s="22">
        <f>Source!R139</f>
        <v>43.32</v>
      </c>
      <c r="K232" s="21"/>
    </row>
    <row r="233" spans="1:22" ht="14.5" x14ac:dyDescent="0.35">
      <c r="A233" s="18"/>
      <c r="B233" s="18"/>
      <c r="C233" s="18" t="s">
        <v>374</v>
      </c>
      <c r="D233" s="19" t="s">
        <v>372</v>
      </c>
      <c r="E233" s="8">
        <f>Source!AT139</f>
        <v>70</v>
      </c>
      <c r="F233" s="21"/>
      <c r="G233" s="20"/>
      <c r="H233" s="8"/>
      <c r="I233" s="8"/>
      <c r="J233" s="21">
        <f>SUM(R228:R232)</f>
        <v>115825.91</v>
      </c>
      <c r="K233" s="21"/>
    </row>
    <row r="234" spans="1:22" ht="14.5" x14ac:dyDescent="0.35">
      <c r="A234" s="18"/>
      <c r="B234" s="18"/>
      <c r="C234" s="18" t="s">
        <v>375</v>
      </c>
      <c r="D234" s="19" t="s">
        <v>372</v>
      </c>
      <c r="E234" s="8">
        <f>Source!AU139</f>
        <v>10</v>
      </c>
      <c r="F234" s="21"/>
      <c r="G234" s="20"/>
      <c r="H234" s="8"/>
      <c r="I234" s="8"/>
      <c r="J234" s="21">
        <f>SUM(T228:T233)</f>
        <v>16546.560000000001</v>
      </c>
      <c r="K234" s="21"/>
    </row>
    <row r="235" spans="1:22" ht="14.5" x14ac:dyDescent="0.35">
      <c r="A235" s="18"/>
      <c r="B235" s="18"/>
      <c r="C235" s="18" t="s">
        <v>371</v>
      </c>
      <c r="D235" s="19" t="s">
        <v>372</v>
      </c>
      <c r="E235" s="8">
        <f>108</f>
        <v>108</v>
      </c>
      <c r="F235" s="21"/>
      <c r="G235" s="20"/>
      <c r="H235" s="8"/>
      <c r="I235" s="8"/>
      <c r="J235" s="21">
        <f>SUM(V228:V234)</f>
        <v>46.79</v>
      </c>
      <c r="K235" s="21"/>
    </row>
    <row r="236" spans="1:22" ht="14.5" x14ac:dyDescent="0.35">
      <c r="A236" s="18"/>
      <c r="B236" s="18"/>
      <c r="C236" s="18" t="s">
        <v>376</v>
      </c>
      <c r="D236" s="19" t="s">
        <v>377</v>
      </c>
      <c r="E236" s="8">
        <f>Source!AQ139</f>
        <v>0.59</v>
      </c>
      <c r="F236" s="21"/>
      <c r="G236" s="20" t="str">
        <f>Source!DI139</f>
        <v/>
      </c>
      <c r="H236" s="8">
        <f>Source!AV139</f>
        <v>1</v>
      </c>
      <c r="I236" s="8"/>
      <c r="J236" s="21"/>
      <c r="K236" s="21">
        <f>Source!U139</f>
        <v>365.15689999999995</v>
      </c>
    </row>
    <row r="237" spans="1:22" ht="14" x14ac:dyDescent="0.3">
      <c r="A237" s="25"/>
      <c r="B237" s="25"/>
      <c r="C237" s="25"/>
      <c r="D237" s="25"/>
      <c r="E237" s="25"/>
      <c r="F237" s="25"/>
      <c r="G237" s="25"/>
      <c r="H237" s="25"/>
      <c r="I237" s="52">
        <f>J230+J231+J233+J234+J235</f>
        <v>302241.98</v>
      </c>
      <c r="J237" s="52"/>
      <c r="K237" s="26">
        <f>IF(Source!I139&lt;&gt;0, ROUND(I237/Source!I139, 2), 0)</f>
        <v>488.35</v>
      </c>
      <c r="P237" s="23">
        <f>I237</f>
        <v>302241.98</v>
      </c>
    </row>
    <row r="238" spans="1:22" ht="28" x14ac:dyDescent="0.35">
      <c r="A238" s="18">
        <v>28</v>
      </c>
      <c r="B238" s="18" t="str">
        <f>Source!F140</f>
        <v>5.4-1201-3-1/1</v>
      </c>
      <c r="C238" s="18" t="str">
        <f>Source!G140</f>
        <v>Уборка газонов от опавших листьев и мусора вручную</v>
      </c>
      <c r="D238" s="19" t="str">
        <f>Source!H140</f>
        <v>100 м2</v>
      </c>
      <c r="E238" s="8">
        <f>Source!I140</f>
        <v>123.782</v>
      </c>
      <c r="F238" s="21"/>
      <c r="G238" s="20"/>
      <c r="H238" s="8"/>
      <c r="I238" s="8"/>
      <c r="J238" s="21"/>
      <c r="K238" s="21"/>
      <c r="Q238">
        <f>ROUND((Source!BZ140/100)*ROUND((Source!AF140*Source!AV140)*Source!I140, 2), 2)</f>
        <v>62821.1</v>
      </c>
      <c r="R238">
        <f>Source!X140</f>
        <v>62821.1</v>
      </c>
      <c r="S238">
        <f>ROUND((Source!CA140/100)*ROUND((Source!AF140*Source!AV140)*Source!I140, 2), 2)</f>
        <v>8974.44</v>
      </c>
      <c r="T238">
        <f>Source!Y140</f>
        <v>8974.44</v>
      </c>
      <c r="U238">
        <f>ROUND((175/100)*ROUND((Source!AE140*Source!AV140)*Source!I140, 2), 2)</f>
        <v>0</v>
      </c>
      <c r="V238">
        <f>ROUND((108/100)*ROUND(Source!CS140*Source!I140, 2), 2)</f>
        <v>0</v>
      </c>
    </row>
    <row r="239" spans="1:22" x14ac:dyDescent="0.25">
      <c r="C239" s="30" t="str">
        <f>"Объем: "&amp;Source!I140&amp;"=12378,2/"&amp;"100"</f>
        <v>Объем: 123,782=12378,2/100</v>
      </c>
    </row>
    <row r="240" spans="1:22" ht="14.5" x14ac:dyDescent="0.35">
      <c r="A240" s="18"/>
      <c r="B240" s="18"/>
      <c r="C240" s="18" t="s">
        <v>373</v>
      </c>
      <c r="D240" s="19"/>
      <c r="E240" s="8"/>
      <c r="F240" s="21">
        <f>Source!AO140</f>
        <v>725.02</v>
      </c>
      <c r="G240" s="20" t="str">
        <f>Source!DG140</f>
        <v/>
      </c>
      <c r="H240" s="8">
        <f>Source!AV140</f>
        <v>1</v>
      </c>
      <c r="I240" s="8">
        <f>IF(Source!BA140&lt;&gt; 0, Source!BA140, 1)</f>
        <v>1</v>
      </c>
      <c r="J240" s="21">
        <f>Source!S140</f>
        <v>89744.43</v>
      </c>
      <c r="K240" s="21"/>
    </row>
    <row r="241" spans="1:22" ht="14.5" x14ac:dyDescent="0.35">
      <c r="A241" s="18"/>
      <c r="B241" s="18"/>
      <c r="C241" s="18" t="s">
        <v>374</v>
      </c>
      <c r="D241" s="19" t="s">
        <v>372</v>
      </c>
      <c r="E241" s="8">
        <f>Source!AT140</f>
        <v>70</v>
      </c>
      <c r="F241" s="21"/>
      <c r="G241" s="20"/>
      <c r="H241" s="8"/>
      <c r="I241" s="8"/>
      <c r="J241" s="21">
        <f>SUM(R238:R240)</f>
        <v>62821.1</v>
      </c>
      <c r="K241" s="21"/>
    </row>
    <row r="242" spans="1:22" ht="14.5" x14ac:dyDescent="0.35">
      <c r="A242" s="18"/>
      <c r="B242" s="18"/>
      <c r="C242" s="18" t="s">
        <v>375</v>
      </c>
      <c r="D242" s="19" t="s">
        <v>372</v>
      </c>
      <c r="E242" s="8">
        <f>Source!AU140</f>
        <v>10</v>
      </c>
      <c r="F242" s="21"/>
      <c r="G242" s="20"/>
      <c r="H242" s="8"/>
      <c r="I242" s="8"/>
      <c r="J242" s="21">
        <f>SUM(T238:T241)</f>
        <v>8974.44</v>
      </c>
      <c r="K242" s="21"/>
    </row>
    <row r="243" spans="1:22" ht="14.5" x14ac:dyDescent="0.35">
      <c r="A243" s="18"/>
      <c r="B243" s="18"/>
      <c r="C243" s="18" t="s">
        <v>376</v>
      </c>
      <c r="D243" s="19" t="s">
        <v>377</v>
      </c>
      <c r="E243" s="8">
        <f>Source!AQ140</f>
        <v>1.6</v>
      </c>
      <c r="F243" s="21"/>
      <c r="G243" s="20" t="str">
        <f>Source!DI140</f>
        <v/>
      </c>
      <c r="H243" s="8">
        <f>Source!AV140</f>
        <v>1</v>
      </c>
      <c r="I243" s="8"/>
      <c r="J243" s="21"/>
      <c r="K243" s="21">
        <f>Source!U140</f>
        <v>198.05119999999999</v>
      </c>
    </row>
    <row r="244" spans="1:22" ht="14" x14ac:dyDescent="0.3">
      <c r="A244" s="25"/>
      <c r="B244" s="25"/>
      <c r="C244" s="25"/>
      <c r="D244" s="25"/>
      <c r="E244" s="25"/>
      <c r="F244" s="25"/>
      <c r="G244" s="25"/>
      <c r="H244" s="25"/>
      <c r="I244" s="52">
        <f>J240+J241+J242</f>
        <v>161539.97</v>
      </c>
      <c r="J244" s="52"/>
      <c r="K244" s="26">
        <f>IF(Source!I140&lt;&gt;0, ROUND(I244/Source!I140, 2), 0)</f>
        <v>1305.04</v>
      </c>
      <c r="P244" s="23">
        <f>I244</f>
        <v>161539.97</v>
      </c>
    </row>
    <row r="245" spans="1:22" ht="28" x14ac:dyDescent="0.35">
      <c r="A245" s="18">
        <v>29</v>
      </c>
      <c r="B245" s="18" t="str">
        <f>Source!F141</f>
        <v>5.4-1201-3-3/1</v>
      </c>
      <c r="C245" s="18" t="str">
        <f>Source!G141</f>
        <v>Уборка опавшей листвы в мешки с погрузкой (71 456, 00*0,005)</v>
      </c>
      <c r="D245" s="19" t="str">
        <f>Source!H141</f>
        <v>м3</v>
      </c>
      <c r="E245" s="8">
        <f>Source!I141</f>
        <v>371.35</v>
      </c>
      <c r="F245" s="21"/>
      <c r="G245" s="20"/>
      <c r="H245" s="8"/>
      <c r="I245" s="8"/>
      <c r="J245" s="21"/>
      <c r="K245" s="21"/>
      <c r="Q245">
        <f>ROUND((Source!BZ141/100)*ROUND((Source!AF141*Source!AV141)*Source!I141, 2), 2)</f>
        <v>63242.02</v>
      </c>
      <c r="R245">
        <f>Source!X141</f>
        <v>63242.02</v>
      </c>
      <c r="S245">
        <f>ROUND((Source!CA141/100)*ROUND((Source!AF141*Source!AV141)*Source!I141, 2), 2)</f>
        <v>9034.57</v>
      </c>
      <c r="T245">
        <f>Source!Y141</f>
        <v>9034.57</v>
      </c>
      <c r="U245">
        <f>ROUND((175/100)*ROUND((Source!AE141*Source!AV141)*Source!I141, 2), 2)</f>
        <v>97401.4</v>
      </c>
      <c r="V245">
        <f>ROUND((108/100)*ROUND(Source!CS141*Source!I141, 2), 2)</f>
        <v>60110.58</v>
      </c>
    </row>
    <row r="246" spans="1:22" ht="14.5" x14ac:dyDescent="0.35">
      <c r="A246" s="18"/>
      <c r="B246" s="18"/>
      <c r="C246" s="18" t="s">
        <v>373</v>
      </c>
      <c r="D246" s="19"/>
      <c r="E246" s="8"/>
      <c r="F246" s="21">
        <f>Source!AO141</f>
        <v>243.29</v>
      </c>
      <c r="G246" s="20" t="str">
        <f>Source!DG141</f>
        <v/>
      </c>
      <c r="H246" s="8">
        <f>Source!AV141</f>
        <v>1</v>
      </c>
      <c r="I246" s="8">
        <f>IF(Source!BA141&lt;&gt; 0, Source!BA141, 1)</f>
        <v>1</v>
      </c>
      <c r="J246" s="21">
        <f>Source!S141</f>
        <v>90345.74</v>
      </c>
      <c r="K246" s="21"/>
    </row>
    <row r="247" spans="1:22" ht="14.5" x14ac:dyDescent="0.35">
      <c r="A247" s="18"/>
      <c r="B247" s="18"/>
      <c r="C247" s="18" t="s">
        <v>369</v>
      </c>
      <c r="D247" s="19"/>
      <c r="E247" s="8"/>
      <c r="F247" s="21">
        <f>Source!AM141</f>
        <v>346.67</v>
      </c>
      <c r="G247" s="20" t="str">
        <f>Source!DE141</f>
        <v/>
      </c>
      <c r="H247" s="8">
        <f>Source!AV141</f>
        <v>1</v>
      </c>
      <c r="I247" s="8">
        <f>IF(Source!BB141&lt;&gt; 0, Source!BB141, 1)</f>
        <v>1</v>
      </c>
      <c r="J247" s="21">
        <f>Source!Q141</f>
        <v>128735.9</v>
      </c>
      <c r="K247" s="21"/>
    </row>
    <row r="248" spans="1:22" ht="14.5" x14ac:dyDescent="0.35">
      <c r="A248" s="18"/>
      <c r="B248" s="18"/>
      <c r="C248" s="18" t="s">
        <v>370</v>
      </c>
      <c r="D248" s="19"/>
      <c r="E248" s="8"/>
      <c r="F248" s="21">
        <f>Source!AN141</f>
        <v>149.88</v>
      </c>
      <c r="G248" s="20" t="str">
        <f>Source!DF141</f>
        <v/>
      </c>
      <c r="H248" s="8">
        <f>Source!AV141</f>
        <v>1</v>
      </c>
      <c r="I248" s="8">
        <f>IF(Source!BS141&lt;&gt; 0, Source!BS141, 1)</f>
        <v>1</v>
      </c>
      <c r="J248" s="22">
        <f>Source!R141</f>
        <v>55657.94</v>
      </c>
      <c r="K248" s="21"/>
    </row>
    <row r="249" spans="1:22" ht="14.5" x14ac:dyDescent="0.35">
      <c r="A249" s="18"/>
      <c r="B249" s="18"/>
      <c r="C249" s="18" t="s">
        <v>378</v>
      </c>
      <c r="D249" s="19"/>
      <c r="E249" s="8"/>
      <c r="F249" s="21">
        <f>Source!AL141</f>
        <v>72.8</v>
      </c>
      <c r="G249" s="20" t="str">
        <f>Source!DD141</f>
        <v/>
      </c>
      <c r="H249" s="8">
        <f>Source!AW141</f>
        <v>1</v>
      </c>
      <c r="I249" s="8">
        <f>IF(Source!BC141&lt;&gt; 0, Source!BC141, 1)</f>
        <v>1</v>
      </c>
      <c r="J249" s="21">
        <f>Source!P141</f>
        <v>27034.28</v>
      </c>
      <c r="K249" s="21"/>
    </row>
    <row r="250" spans="1:22" ht="14.5" x14ac:dyDescent="0.35">
      <c r="A250" s="18"/>
      <c r="B250" s="18"/>
      <c r="C250" s="18" t="s">
        <v>374</v>
      </c>
      <c r="D250" s="19" t="s">
        <v>372</v>
      </c>
      <c r="E250" s="8">
        <f>Source!AT141</f>
        <v>70</v>
      </c>
      <c r="F250" s="21"/>
      <c r="G250" s="20"/>
      <c r="H250" s="8"/>
      <c r="I250" s="8"/>
      <c r="J250" s="21">
        <f>SUM(R245:R249)</f>
        <v>63242.02</v>
      </c>
      <c r="K250" s="21"/>
    </row>
    <row r="251" spans="1:22" ht="14.5" x14ac:dyDescent="0.35">
      <c r="A251" s="18"/>
      <c r="B251" s="18"/>
      <c r="C251" s="18" t="s">
        <v>375</v>
      </c>
      <c r="D251" s="19" t="s">
        <v>372</v>
      </c>
      <c r="E251" s="8">
        <f>Source!AU141</f>
        <v>10</v>
      </c>
      <c r="F251" s="21"/>
      <c r="G251" s="20"/>
      <c r="H251" s="8"/>
      <c r="I251" s="8"/>
      <c r="J251" s="21">
        <f>SUM(T245:T250)</f>
        <v>9034.57</v>
      </c>
      <c r="K251" s="21"/>
    </row>
    <row r="252" spans="1:22" ht="14.5" x14ac:dyDescent="0.35">
      <c r="A252" s="18"/>
      <c r="B252" s="18"/>
      <c r="C252" s="18" t="s">
        <v>371</v>
      </c>
      <c r="D252" s="19" t="s">
        <v>372</v>
      </c>
      <c r="E252" s="8">
        <f>108</f>
        <v>108</v>
      </c>
      <c r="F252" s="21"/>
      <c r="G252" s="20"/>
      <c r="H252" s="8"/>
      <c r="I252" s="8"/>
      <c r="J252" s="21">
        <f>SUM(V245:V251)</f>
        <v>60110.58</v>
      </c>
      <c r="K252" s="21"/>
    </row>
    <row r="253" spans="1:22" ht="14.5" x14ac:dyDescent="0.35">
      <c r="A253" s="18"/>
      <c r="B253" s="18"/>
      <c r="C253" s="18" t="s">
        <v>376</v>
      </c>
      <c r="D253" s="19" t="s">
        <v>377</v>
      </c>
      <c r="E253" s="8">
        <f>Source!AQ141</f>
        <v>0.48</v>
      </c>
      <c r="F253" s="21"/>
      <c r="G253" s="20" t="str">
        <f>Source!DI141</f>
        <v/>
      </c>
      <c r="H253" s="8">
        <f>Source!AV141</f>
        <v>1</v>
      </c>
      <c r="I253" s="8"/>
      <c r="J253" s="21"/>
      <c r="K253" s="21">
        <f>Source!U141</f>
        <v>178.24799999999999</v>
      </c>
    </row>
    <row r="254" spans="1:22" ht="14" x14ac:dyDescent="0.3">
      <c r="A254" s="25"/>
      <c r="B254" s="25"/>
      <c r="C254" s="25"/>
      <c r="D254" s="25"/>
      <c r="E254" s="25"/>
      <c r="F254" s="25"/>
      <c r="G254" s="25"/>
      <c r="H254" s="25"/>
      <c r="I254" s="52">
        <f>J246+J247+J249+J250+J251+J252</f>
        <v>378503.09</v>
      </c>
      <c r="J254" s="52"/>
      <c r="K254" s="26">
        <f>IF(Source!I141&lt;&gt;0, ROUND(I254/Source!I141, 2), 0)</f>
        <v>1019.26</v>
      </c>
      <c r="P254" s="23">
        <f>I254</f>
        <v>378503.09</v>
      </c>
    </row>
    <row r="255" spans="1:22" ht="28" x14ac:dyDescent="0.35">
      <c r="A255" s="18">
        <v>30</v>
      </c>
      <c r="B255" s="18" t="str">
        <f>Source!F142</f>
        <v>5.4-1201-1-1/1</v>
      </c>
      <c r="C255" s="18" t="str">
        <f>Source!G142</f>
        <v>Сбор случайного мусора по территории</v>
      </c>
      <c r="D255" s="19" t="str">
        <f>Source!H142</f>
        <v>100 м2</v>
      </c>
      <c r="E255" s="8">
        <f>Source!I142</f>
        <v>247.56399999999999</v>
      </c>
      <c r="F255" s="21"/>
      <c r="G255" s="20"/>
      <c r="H255" s="8"/>
      <c r="I255" s="8"/>
      <c r="J255" s="21"/>
      <c r="K255" s="21"/>
      <c r="Q255">
        <f>ROUND((Source!BZ142/100)*ROUND((Source!AF142*Source!AV142)*Source!I142, 2), 2)</f>
        <v>781445.18</v>
      </c>
      <c r="R255">
        <f>Source!X142</f>
        <v>781445.18</v>
      </c>
      <c r="S255">
        <f>ROUND((Source!CA142/100)*ROUND((Source!AF142*Source!AV142)*Source!I142, 2), 2)</f>
        <v>111635.03</v>
      </c>
      <c r="T255">
        <f>Source!Y142</f>
        <v>111635.03</v>
      </c>
      <c r="U255">
        <f>ROUND((175/100)*ROUND((Source!AE142*Source!AV142)*Source!I142, 2), 2)</f>
        <v>0</v>
      </c>
      <c r="V255">
        <f>ROUND((108/100)*ROUND(Source!CS142*Source!I142, 2), 2)</f>
        <v>0</v>
      </c>
    </row>
    <row r="256" spans="1:22" ht="14.5" x14ac:dyDescent="0.35">
      <c r="A256" s="18"/>
      <c r="B256" s="18"/>
      <c r="C256" s="18" t="s">
        <v>373</v>
      </c>
      <c r="D256" s="19"/>
      <c r="E256" s="8"/>
      <c r="F256" s="21">
        <f>Source!AO142</f>
        <v>22.66</v>
      </c>
      <c r="G256" s="20" t="str">
        <f>Source!DG142</f>
        <v>)*199</v>
      </c>
      <c r="H256" s="8">
        <f>Source!AV142</f>
        <v>1</v>
      </c>
      <c r="I256" s="8">
        <f>IF(Source!BA142&lt;&gt; 0, Source!BA142, 1)</f>
        <v>1</v>
      </c>
      <c r="J256" s="21">
        <f>Source!S142</f>
        <v>1116350.25</v>
      </c>
      <c r="K256" s="21"/>
    </row>
    <row r="257" spans="1:22" ht="14.5" x14ac:dyDescent="0.35">
      <c r="A257" s="18"/>
      <c r="B257" s="18"/>
      <c r="C257" s="18" t="s">
        <v>378</v>
      </c>
      <c r="D257" s="19"/>
      <c r="E257" s="8"/>
      <c r="F257" s="21">
        <f>Source!AL142</f>
        <v>0.91</v>
      </c>
      <c r="G257" s="20" t="str">
        <f>Source!DD142</f>
        <v>)*199</v>
      </c>
      <c r="H257" s="8">
        <f>Source!AW142</f>
        <v>1</v>
      </c>
      <c r="I257" s="8">
        <f>IF(Source!BC142&lt;&gt; 0, Source!BC142, 1)</f>
        <v>1</v>
      </c>
      <c r="J257" s="21">
        <f>Source!P142</f>
        <v>44831.360000000001</v>
      </c>
      <c r="K257" s="21"/>
    </row>
    <row r="258" spans="1:22" ht="14.5" x14ac:dyDescent="0.35">
      <c r="A258" s="18"/>
      <c r="B258" s="18"/>
      <c r="C258" s="18" t="s">
        <v>374</v>
      </c>
      <c r="D258" s="19" t="s">
        <v>372</v>
      </c>
      <c r="E258" s="8">
        <f>Source!AT142</f>
        <v>70</v>
      </c>
      <c r="F258" s="21"/>
      <c r="G258" s="20"/>
      <c r="H258" s="8"/>
      <c r="I258" s="8"/>
      <c r="J258" s="21">
        <f>SUM(R255:R257)</f>
        <v>781445.18</v>
      </c>
      <c r="K258" s="21"/>
    </row>
    <row r="259" spans="1:22" ht="14.5" x14ac:dyDescent="0.35">
      <c r="A259" s="18"/>
      <c r="B259" s="18"/>
      <c r="C259" s="18" t="s">
        <v>375</v>
      </c>
      <c r="D259" s="19" t="s">
        <v>372</v>
      </c>
      <c r="E259" s="8">
        <f>Source!AU142</f>
        <v>10</v>
      </c>
      <c r="F259" s="21"/>
      <c r="G259" s="20"/>
      <c r="H259" s="8"/>
      <c r="I259" s="8"/>
      <c r="J259" s="21">
        <f>SUM(T255:T258)</f>
        <v>111635.03</v>
      </c>
      <c r="K259" s="21"/>
    </row>
    <row r="260" spans="1:22" ht="14.5" x14ac:dyDescent="0.35">
      <c r="A260" s="18"/>
      <c r="B260" s="18"/>
      <c r="C260" s="18" t="s">
        <v>376</v>
      </c>
      <c r="D260" s="19" t="s">
        <v>377</v>
      </c>
      <c r="E260" s="8">
        <f>Source!AQ142</f>
        <v>0.05</v>
      </c>
      <c r="F260" s="21"/>
      <c r="G260" s="20" t="str">
        <f>Source!DI142</f>
        <v>)*199</v>
      </c>
      <c r="H260" s="8">
        <f>Source!AV142</f>
        <v>1</v>
      </c>
      <c r="I260" s="8"/>
      <c r="J260" s="21"/>
      <c r="K260" s="21">
        <f>Source!U142</f>
        <v>2463.2618000000002</v>
      </c>
    </row>
    <row r="261" spans="1:22" ht="14" x14ac:dyDescent="0.3">
      <c r="A261" s="25"/>
      <c r="B261" s="25"/>
      <c r="C261" s="25"/>
      <c r="D261" s="25"/>
      <c r="E261" s="25"/>
      <c r="F261" s="25"/>
      <c r="G261" s="25"/>
      <c r="H261" s="25"/>
      <c r="I261" s="52">
        <f>J256+J257+J258+J259</f>
        <v>2054261.82</v>
      </c>
      <c r="J261" s="52"/>
      <c r="K261" s="26">
        <f>IF(Source!I142&lt;&gt;0, ROUND(I261/Source!I142, 2), 0)</f>
        <v>8297.9</v>
      </c>
      <c r="P261" s="23">
        <f>I261</f>
        <v>2054261.82</v>
      </c>
    </row>
    <row r="262" spans="1:22" ht="28" x14ac:dyDescent="0.35">
      <c r="A262" s="18">
        <v>31</v>
      </c>
      <c r="B262" s="18" t="str">
        <f>Source!F143</f>
        <v>5.4-3201-7-2/1</v>
      </c>
      <c r="C262" s="18" t="str">
        <f>Source!G143</f>
        <v>Выкашивание газонов газонокосилкой</v>
      </c>
      <c r="D262" s="19" t="str">
        <f>Source!H143</f>
        <v>100 м2</v>
      </c>
      <c r="E262" s="8">
        <f>Source!I143</f>
        <v>1237.82</v>
      </c>
      <c r="F262" s="21"/>
      <c r="G262" s="20"/>
      <c r="H262" s="8"/>
      <c r="I262" s="8"/>
      <c r="J262" s="21"/>
      <c r="K262" s="21"/>
      <c r="Q262">
        <f>ROUND((Source!BZ143/100)*ROUND((Source!AF143*Source!AV143)*Source!I143, 2), 2)</f>
        <v>5450779.9800000004</v>
      </c>
      <c r="R262">
        <f>Source!X143</f>
        <v>5450779.9800000004</v>
      </c>
      <c r="S262">
        <f>ROUND((Source!CA143/100)*ROUND((Source!AF143*Source!AV143)*Source!I143, 2), 2)</f>
        <v>778682.85</v>
      </c>
      <c r="T262">
        <f>Source!Y143</f>
        <v>778682.85</v>
      </c>
      <c r="U262">
        <f>ROUND((175/100)*ROUND((Source!AE143*Source!AV143)*Source!I143, 2), 2)</f>
        <v>74603.41</v>
      </c>
      <c r="V262">
        <f>ROUND((108/100)*ROUND(Source!CS143*Source!I143, 2), 2)</f>
        <v>46040.959999999999</v>
      </c>
    </row>
    <row r="263" spans="1:22" ht="14.5" x14ac:dyDescent="0.35">
      <c r="A263" s="18"/>
      <c r="B263" s="18"/>
      <c r="C263" s="18" t="s">
        <v>373</v>
      </c>
      <c r="D263" s="19"/>
      <c r="E263" s="8"/>
      <c r="F263" s="21">
        <f>Source!AO143</f>
        <v>449.34</v>
      </c>
      <c r="G263" s="20" t="str">
        <f>Source!DG143</f>
        <v>)*14</v>
      </c>
      <c r="H263" s="8">
        <f>Source!AV143</f>
        <v>1</v>
      </c>
      <c r="I263" s="8">
        <f>IF(Source!BA143&lt;&gt; 0, Source!BA143, 1)</f>
        <v>1</v>
      </c>
      <c r="J263" s="21">
        <f>Source!S143</f>
        <v>7786828.54</v>
      </c>
      <c r="K263" s="21"/>
    </row>
    <row r="264" spans="1:22" ht="14.5" x14ac:dyDescent="0.35">
      <c r="A264" s="18"/>
      <c r="B264" s="18"/>
      <c r="C264" s="18" t="s">
        <v>369</v>
      </c>
      <c r="D264" s="19"/>
      <c r="E264" s="8"/>
      <c r="F264" s="21">
        <f>Source!AM143</f>
        <v>24.44</v>
      </c>
      <c r="G264" s="20" t="str">
        <f>Source!DE143</f>
        <v>)*14</v>
      </c>
      <c r="H264" s="8">
        <f>Source!AV143</f>
        <v>1</v>
      </c>
      <c r="I264" s="8">
        <f>IF(Source!BB143&lt;&gt; 0, Source!BB143, 1)</f>
        <v>1</v>
      </c>
      <c r="J264" s="21">
        <f>Source!Q143</f>
        <v>423532.49</v>
      </c>
      <c r="K264" s="21"/>
    </row>
    <row r="265" spans="1:22" ht="14.5" x14ac:dyDescent="0.35">
      <c r="A265" s="18"/>
      <c r="B265" s="18"/>
      <c r="C265" s="18" t="s">
        <v>370</v>
      </c>
      <c r="D265" s="19"/>
      <c r="E265" s="8"/>
      <c r="F265" s="21">
        <f>Source!AN143</f>
        <v>2.46</v>
      </c>
      <c r="G265" s="20" t="str">
        <f>Source!DF143</f>
        <v>)*14</v>
      </c>
      <c r="H265" s="8">
        <f>Source!AV143</f>
        <v>1</v>
      </c>
      <c r="I265" s="8">
        <f>IF(Source!BS143&lt;&gt; 0, Source!BS143, 1)</f>
        <v>1</v>
      </c>
      <c r="J265" s="22">
        <f>Source!R143</f>
        <v>42630.52</v>
      </c>
      <c r="K265" s="21"/>
    </row>
    <row r="266" spans="1:22" ht="14.5" x14ac:dyDescent="0.35">
      <c r="A266" s="18"/>
      <c r="B266" s="18"/>
      <c r="C266" s="18" t="s">
        <v>374</v>
      </c>
      <c r="D266" s="19" t="s">
        <v>372</v>
      </c>
      <c r="E266" s="8">
        <f>Source!AT143</f>
        <v>70</v>
      </c>
      <c r="F266" s="21"/>
      <c r="G266" s="20"/>
      <c r="H266" s="8"/>
      <c r="I266" s="8"/>
      <c r="J266" s="21">
        <f>SUM(R262:R265)</f>
        <v>5450779.9800000004</v>
      </c>
      <c r="K266" s="21"/>
    </row>
    <row r="267" spans="1:22" ht="14.5" x14ac:dyDescent="0.35">
      <c r="A267" s="18"/>
      <c r="B267" s="18"/>
      <c r="C267" s="18" t="s">
        <v>375</v>
      </c>
      <c r="D267" s="19" t="s">
        <v>372</v>
      </c>
      <c r="E267" s="8">
        <f>Source!AU143</f>
        <v>10</v>
      </c>
      <c r="F267" s="21"/>
      <c r="G267" s="20"/>
      <c r="H267" s="8"/>
      <c r="I267" s="8"/>
      <c r="J267" s="21">
        <f>SUM(T262:T266)</f>
        <v>778682.85</v>
      </c>
      <c r="K267" s="21"/>
    </row>
    <row r="268" spans="1:22" ht="14.5" x14ac:dyDescent="0.35">
      <c r="A268" s="18"/>
      <c r="B268" s="18"/>
      <c r="C268" s="18" t="s">
        <v>371</v>
      </c>
      <c r="D268" s="19" t="s">
        <v>372</v>
      </c>
      <c r="E268" s="8">
        <f>108</f>
        <v>108</v>
      </c>
      <c r="F268" s="21"/>
      <c r="G268" s="20"/>
      <c r="H268" s="8"/>
      <c r="I268" s="8"/>
      <c r="J268" s="21">
        <f>SUM(V262:V267)</f>
        <v>46040.959999999999</v>
      </c>
      <c r="K268" s="21"/>
    </row>
    <row r="269" spans="1:22" ht="14.5" x14ac:dyDescent="0.35">
      <c r="A269" s="18"/>
      <c r="B269" s="18"/>
      <c r="C269" s="18" t="s">
        <v>376</v>
      </c>
      <c r="D269" s="19" t="s">
        <v>377</v>
      </c>
      <c r="E269" s="8">
        <f>Source!AQ143</f>
        <v>0.98</v>
      </c>
      <c r="F269" s="21"/>
      <c r="G269" s="20" t="str">
        <f>Source!DI143</f>
        <v>)*14</v>
      </c>
      <c r="H269" s="8">
        <f>Source!AV143</f>
        <v>1</v>
      </c>
      <c r="I269" s="8"/>
      <c r="J269" s="21"/>
      <c r="K269" s="21">
        <f>Source!U143</f>
        <v>16982.890399999997</v>
      </c>
    </row>
    <row r="270" spans="1:22" ht="14" x14ac:dyDescent="0.3">
      <c r="A270" s="25"/>
      <c r="B270" s="25"/>
      <c r="C270" s="25"/>
      <c r="D270" s="25"/>
      <c r="E270" s="25"/>
      <c r="F270" s="25"/>
      <c r="G270" s="25"/>
      <c r="H270" s="25"/>
      <c r="I270" s="52">
        <f>J263+J264+J266+J267+J268</f>
        <v>14485864.820000002</v>
      </c>
      <c r="J270" s="52"/>
      <c r="K270" s="26">
        <f>IF(Source!I143&lt;&gt;0, ROUND(I270/Source!I143, 2), 0)</f>
        <v>11702.72</v>
      </c>
      <c r="P270" s="23">
        <f>I270</f>
        <v>14485864.820000002</v>
      </c>
    </row>
    <row r="271" spans="1:22" ht="42" x14ac:dyDescent="0.35">
      <c r="A271" s="18">
        <v>32</v>
      </c>
      <c r="B271" s="18" t="str">
        <f>Source!F144</f>
        <v>5.4-3405-7-1/1</v>
      </c>
      <c r="C271" s="18" t="str">
        <f>Source!G144</f>
        <v>Полив зеленых насаждений из шланга поливомоечной  (5 л на 1 м2) (80% от площади скашивания)</v>
      </c>
      <c r="D271" s="19" t="str">
        <f>Source!H144</f>
        <v>м3</v>
      </c>
      <c r="E271" s="8">
        <f>Source!I144</f>
        <v>495.12799999999999</v>
      </c>
      <c r="F271" s="21"/>
      <c r="G271" s="20"/>
      <c r="H271" s="8"/>
      <c r="I271" s="8"/>
      <c r="J271" s="21"/>
      <c r="K271" s="21"/>
      <c r="Q271">
        <f>ROUND((Source!BZ144/100)*ROUND((Source!AF144*Source!AV144)*Source!I144, 2), 2)</f>
        <v>885002.68</v>
      </c>
      <c r="R271">
        <f>Source!X144</f>
        <v>885002.68</v>
      </c>
      <c r="S271">
        <f>ROUND((Source!CA144/100)*ROUND((Source!AF144*Source!AV144)*Source!I144, 2), 2)</f>
        <v>126428.95</v>
      </c>
      <c r="T271">
        <f>Source!Y144</f>
        <v>126428.95</v>
      </c>
      <c r="U271">
        <f>ROUND((175/100)*ROUND((Source!AE144*Source!AV144)*Source!I144, 2), 2)</f>
        <v>3766077.25</v>
      </c>
      <c r="V271">
        <f>ROUND((108/100)*ROUND(Source!CS144*Source!I144, 2), 2)</f>
        <v>2324207.67</v>
      </c>
    </row>
    <row r="272" spans="1:22" ht="14.5" x14ac:dyDescent="0.35">
      <c r="A272" s="18"/>
      <c r="B272" s="18"/>
      <c r="C272" s="18" t="s">
        <v>373</v>
      </c>
      <c r="D272" s="19"/>
      <c r="E272" s="8"/>
      <c r="F272" s="21">
        <f>Source!AO144</f>
        <v>182.39</v>
      </c>
      <c r="G272" s="20" t="str">
        <f>Source!DG144</f>
        <v>)*14</v>
      </c>
      <c r="H272" s="8">
        <f>Source!AV144</f>
        <v>1</v>
      </c>
      <c r="I272" s="8">
        <f>IF(Source!BA144&lt;&gt; 0, Source!BA144, 1)</f>
        <v>1</v>
      </c>
      <c r="J272" s="21">
        <f>Source!S144</f>
        <v>1264289.54</v>
      </c>
      <c r="K272" s="21"/>
    </row>
    <row r="273" spans="1:22" ht="14.5" x14ac:dyDescent="0.35">
      <c r="A273" s="18"/>
      <c r="B273" s="18"/>
      <c r="C273" s="18" t="s">
        <v>369</v>
      </c>
      <c r="D273" s="19"/>
      <c r="E273" s="8"/>
      <c r="F273" s="21">
        <f>Source!AM144</f>
        <v>899.27</v>
      </c>
      <c r="G273" s="20" t="str">
        <f>Source!DE144</f>
        <v>)*14</v>
      </c>
      <c r="H273" s="8">
        <f>Source!AV144</f>
        <v>1</v>
      </c>
      <c r="I273" s="8">
        <f>IF(Source!BB144&lt;&gt; 0, Source!BB144, 1)</f>
        <v>1</v>
      </c>
      <c r="J273" s="21">
        <f>Source!Q144</f>
        <v>6233552.5899999999</v>
      </c>
      <c r="K273" s="21"/>
    </row>
    <row r="274" spans="1:22" ht="14.5" x14ac:dyDescent="0.35">
      <c r="A274" s="18"/>
      <c r="B274" s="18"/>
      <c r="C274" s="18" t="s">
        <v>370</v>
      </c>
      <c r="D274" s="19"/>
      <c r="E274" s="8"/>
      <c r="F274" s="21">
        <f>Source!AN144</f>
        <v>310.45999999999998</v>
      </c>
      <c r="G274" s="20" t="str">
        <f>Source!DF144</f>
        <v>)*14</v>
      </c>
      <c r="H274" s="8">
        <f>Source!AV144</f>
        <v>1</v>
      </c>
      <c r="I274" s="8">
        <f>IF(Source!BS144&lt;&gt; 0, Source!BS144, 1)</f>
        <v>1</v>
      </c>
      <c r="J274" s="22">
        <f>Source!R144</f>
        <v>2152044.14</v>
      </c>
      <c r="K274" s="21"/>
    </row>
    <row r="275" spans="1:22" ht="14.5" x14ac:dyDescent="0.35">
      <c r="A275" s="18"/>
      <c r="B275" s="18"/>
      <c r="C275" s="18" t="s">
        <v>378</v>
      </c>
      <c r="D275" s="19"/>
      <c r="E275" s="8"/>
      <c r="F275" s="21">
        <f>Source!AL144</f>
        <v>54.81</v>
      </c>
      <c r="G275" s="20" t="str">
        <f>Source!DD144</f>
        <v>)*14</v>
      </c>
      <c r="H275" s="8">
        <f>Source!AW144</f>
        <v>1</v>
      </c>
      <c r="I275" s="8">
        <f>IF(Source!BC144&lt;&gt; 0, Source!BC144, 1)</f>
        <v>1</v>
      </c>
      <c r="J275" s="21">
        <f>Source!P144</f>
        <v>379931.52</v>
      </c>
      <c r="K275" s="21"/>
    </row>
    <row r="276" spans="1:22" ht="14.5" x14ac:dyDescent="0.35">
      <c r="A276" s="18" t="s">
        <v>226</v>
      </c>
      <c r="B276" s="18" t="str">
        <f>Source!F145</f>
        <v>21.1-25-13</v>
      </c>
      <c r="C276" s="18" t="str">
        <f>Source!G145</f>
        <v>Вода</v>
      </c>
      <c r="D276" s="19" t="str">
        <f>Source!H145</f>
        <v>м3</v>
      </c>
      <c r="E276" s="8">
        <f>Source!I145</f>
        <v>-6931.7920000000004</v>
      </c>
      <c r="F276" s="21">
        <f>Source!AK145</f>
        <v>54.81</v>
      </c>
      <c r="G276" s="27" t="s">
        <v>385</v>
      </c>
      <c r="H276" s="8">
        <f>Source!AW145</f>
        <v>1</v>
      </c>
      <c r="I276" s="8">
        <f>IF(Source!BC145&lt;&gt; 0, Source!BC145, 1)</f>
        <v>1</v>
      </c>
      <c r="J276" s="21">
        <f>Source!O145</f>
        <v>-379931.52</v>
      </c>
      <c r="K276" s="21"/>
      <c r="Q276">
        <f>ROUND((Source!BZ145/100)*ROUND((Source!AF145*Source!AV145)*Source!I145, 2), 2)</f>
        <v>0</v>
      </c>
      <c r="R276">
        <f>Source!X145</f>
        <v>0</v>
      </c>
      <c r="S276">
        <f>ROUND((Source!CA145/100)*ROUND((Source!AF145*Source!AV145)*Source!I145, 2), 2)</f>
        <v>0</v>
      </c>
      <c r="T276">
        <f>Source!Y145</f>
        <v>0</v>
      </c>
      <c r="U276">
        <f>ROUND((175/100)*ROUND((Source!AE145*Source!AV145)*Source!I145, 2), 2)</f>
        <v>0</v>
      </c>
      <c r="V276">
        <f>ROUND((108/100)*ROUND(Source!CS145*Source!I145, 2), 2)</f>
        <v>0</v>
      </c>
    </row>
    <row r="277" spans="1:22" ht="14.5" x14ac:dyDescent="0.35">
      <c r="A277" s="18"/>
      <c r="B277" s="18"/>
      <c r="C277" s="18" t="s">
        <v>374</v>
      </c>
      <c r="D277" s="19" t="s">
        <v>372</v>
      </c>
      <c r="E277" s="8">
        <f>Source!AT144</f>
        <v>70</v>
      </c>
      <c r="F277" s="21"/>
      <c r="G277" s="20"/>
      <c r="H277" s="8"/>
      <c r="I277" s="8"/>
      <c r="J277" s="21">
        <f>SUM(R271:R276)</f>
        <v>885002.68</v>
      </c>
      <c r="K277" s="21"/>
    </row>
    <row r="278" spans="1:22" ht="14.5" x14ac:dyDescent="0.35">
      <c r="A278" s="18"/>
      <c r="B278" s="18"/>
      <c r="C278" s="18" t="s">
        <v>375</v>
      </c>
      <c r="D278" s="19" t="s">
        <v>372</v>
      </c>
      <c r="E278" s="8">
        <f>Source!AU144</f>
        <v>10</v>
      </c>
      <c r="F278" s="21"/>
      <c r="G278" s="20"/>
      <c r="H278" s="8"/>
      <c r="I278" s="8"/>
      <c r="J278" s="21">
        <f>SUM(T271:T277)</f>
        <v>126428.95</v>
      </c>
      <c r="K278" s="21"/>
    </row>
    <row r="279" spans="1:22" ht="14.5" x14ac:dyDescent="0.35">
      <c r="A279" s="18"/>
      <c r="B279" s="18"/>
      <c r="C279" s="18" t="s">
        <v>371</v>
      </c>
      <c r="D279" s="19" t="s">
        <v>372</v>
      </c>
      <c r="E279" s="8">
        <f>108</f>
        <v>108</v>
      </c>
      <c r="F279" s="21"/>
      <c r="G279" s="20"/>
      <c r="H279" s="8"/>
      <c r="I279" s="8"/>
      <c r="J279" s="21">
        <f>SUM(V271:V278)</f>
        <v>2324207.67</v>
      </c>
      <c r="K279" s="21"/>
    </row>
    <row r="280" spans="1:22" ht="14.5" x14ac:dyDescent="0.35">
      <c r="A280" s="18"/>
      <c r="B280" s="18"/>
      <c r="C280" s="18" t="s">
        <v>376</v>
      </c>
      <c r="D280" s="19" t="s">
        <v>377</v>
      </c>
      <c r="E280" s="8">
        <f>Source!AQ144</f>
        <v>0.56000000000000005</v>
      </c>
      <c r="F280" s="21"/>
      <c r="G280" s="20" t="str">
        <f>Source!DI144</f>
        <v>)*14</v>
      </c>
      <c r="H280" s="8">
        <f>Source!AV144</f>
        <v>1</v>
      </c>
      <c r="I280" s="8"/>
      <c r="J280" s="21"/>
      <c r="K280" s="21">
        <f>Source!U144</f>
        <v>3881.8035200000004</v>
      </c>
    </row>
    <row r="281" spans="1:22" ht="14" x14ac:dyDescent="0.3">
      <c r="A281" s="25"/>
      <c r="B281" s="25"/>
      <c r="C281" s="25"/>
      <c r="D281" s="25"/>
      <c r="E281" s="25"/>
      <c r="F281" s="25"/>
      <c r="G281" s="25"/>
      <c r="H281" s="25"/>
      <c r="I281" s="52">
        <f>J272+J273+J275+J277+J278+J279+SUM(J276:J276)</f>
        <v>10833481.43</v>
      </c>
      <c r="J281" s="52"/>
      <c r="K281" s="26">
        <f>IF(Source!I144&lt;&gt;0, ROUND(I281/Source!I144, 2), 0)</f>
        <v>21880.16</v>
      </c>
      <c r="P281" s="23">
        <f>I281</f>
        <v>10833481.43</v>
      </c>
    </row>
    <row r="282" spans="1:22" ht="56" x14ac:dyDescent="0.35">
      <c r="A282" s="18">
        <v>33</v>
      </c>
      <c r="B282" s="18" t="str">
        <f>Source!F146</f>
        <v>5.4-3405-22-1/1</v>
      </c>
      <c r="C282" s="18" t="str">
        <f>Source!G146</f>
        <v>Внесение минеральных удобрений - равномерное внесение в почву сухих минеральных удобрений (без стоимости материалов) (50%)</v>
      </c>
      <c r="D282" s="19" t="str">
        <f>Source!H146</f>
        <v>100 м2</v>
      </c>
      <c r="E282" s="8">
        <f>Source!I146</f>
        <v>618.91</v>
      </c>
      <c r="F282" s="21"/>
      <c r="G282" s="20"/>
      <c r="H282" s="8"/>
      <c r="I282" s="8"/>
      <c r="J282" s="21"/>
      <c r="K282" s="21"/>
      <c r="Q282">
        <f>ROUND((Source!BZ146/100)*ROUND((Source!AF146*Source!AV146)*Source!I146, 2), 2)</f>
        <v>152313.13</v>
      </c>
      <c r="R282">
        <f>Source!X146</f>
        <v>152313.13</v>
      </c>
      <c r="S282">
        <f>ROUND((Source!CA146/100)*ROUND((Source!AF146*Source!AV146)*Source!I146, 2), 2)</f>
        <v>21759.02</v>
      </c>
      <c r="T282">
        <f>Source!Y146</f>
        <v>21759.02</v>
      </c>
      <c r="U282">
        <f>ROUND((175/100)*ROUND((Source!AE146*Source!AV146)*Source!I146, 2), 2)</f>
        <v>0</v>
      </c>
      <c r="V282">
        <f>ROUND((108/100)*ROUND(Source!CS146*Source!I146, 2), 2)</f>
        <v>0</v>
      </c>
    </row>
    <row r="283" spans="1:22" x14ac:dyDescent="0.25">
      <c r="C283" s="30" t="str">
        <f>"Объем: "&amp;Source!I146&amp;"=61891/"&amp;"100"</f>
        <v>Объем: 618,91=61891/100</v>
      </c>
    </row>
    <row r="284" spans="1:22" ht="14.5" x14ac:dyDescent="0.35">
      <c r="A284" s="18"/>
      <c r="B284" s="18"/>
      <c r="C284" s="18" t="s">
        <v>373</v>
      </c>
      <c r="D284" s="19"/>
      <c r="E284" s="8"/>
      <c r="F284" s="21">
        <f>Source!AO146</f>
        <v>351.57</v>
      </c>
      <c r="G284" s="20" t="str">
        <f>Source!DG146</f>
        <v/>
      </c>
      <c r="H284" s="8">
        <f>Source!AV146</f>
        <v>1</v>
      </c>
      <c r="I284" s="8">
        <f>IF(Source!BA146&lt;&gt; 0, Source!BA146, 1)</f>
        <v>1</v>
      </c>
      <c r="J284" s="21">
        <f>Source!S146</f>
        <v>217590.19</v>
      </c>
      <c r="K284" s="21"/>
    </row>
    <row r="285" spans="1:22" ht="28" x14ac:dyDescent="0.35">
      <c r="A285" s="18" t="s">
        <v>231</v>
      </c>
      <c r="B285" s="18" t="str">
        <f>Source!F147</f>
        <v>21.4-4-17</v>
      </c>
      <c r="C285" s="18" t="str">
        <f>Source!G147</f>
        <v>Удобрения комплексные минеральные для газонов</v>
      </c>
      <c r="D285" s="19" t="str">
        <f>Source!H147</f>
        <v>кг</v>
      </c>
      <c r="E285" s="8">
        <f>Source!I147</f>
        <v>3094.55</v>
      </c>
      <c r="F285" s="21">
        <f>Source!AK147</f>
        <v>109.62</v>
      </c>
      <c r="G285" s="27" t="s">
        <v>3</v>
      </c>
      <c r="H285" s="8">
        <f>Source!AW147</f>
        <v>1</v>
      </c>
      <c r="I285" s="8">
        <f>IF(Source!BC147&lt;&gt; 0, Source!BC147, 1)</f>
        <v>1</v>
      </c>
      <c r="J285" s="21">
        <f>Source!O147</f>
        <v>339224.57</v>
      </c>
      <c r="K285" s="21"/>
      <c r="Q285">
        <f>ROUND((Source!BZ147/100)*ROUND((Source!AF147*Source!AV147)*Source!I147, 2), 2)</f>
        <v>0</v>
      </c>
      <c r="R285">
        <f>Source!X147</f>
        <v>0</v>
      </c>
      <c r="S285">
        <f>ROUND((Source!CA147/100)*ROUND((Source!AF147*Source!AV147)*Source!I147, 2), 2)</f>
        <v>0</v>
      </c>
      <c r="T285">
        <f>Source!Y147</f>
        <v>0</v>
      </c>
      <c r="U285">
        <f>ROUND((175/100)*ROUND((Source!AE147*Source!AV147)*Source!I147, 2), 2)</f>
        <v>0</v>
      </c>
      <c r="V285">
        <f>ROUND((108/100)*ROUND(Source!CS147*Source!I147, 2), 2)</f>
        <v>0</v>
      </c>
    </row>
    <row r="286" spans="1:22" ht="14.5" x14ac:dyDescent="0.35">
      <c r="A286" s="18"/>
      <c r="B286" s="18"/>
      <c r="C286" s="18" t="s">
        <v>374</v>
      </c>
      <c r="D286" s="19" t="s">
        <v>372</v>
      </c>
      <c r="E286" s="8">
        <f>Source!AT146</f>
        <v>70</v>
      </c>
      <c r="F286" s="21"/>
      <c r="G286" s="20"/>
      <c r="H286" s="8"/>
      <c r="I286" s="8"/>
      <c r="J286" s="21">
        <f>SUM(R282:R285)</f>
        <v>152313.13</v>
      </c>
      <c r="K286" s="21"/>
    </row>
    <row r="287" spans="1:22" ht="14.5" x14ac:dyDescent="0.35">
      <c r="A287" s="18"/>
      <c r="B287" s="18"/>
      <c r="C287" s="18" t="s">
        <v>375</v>
      </c>
      <c r="D287" s="19" t="s">
        <v>372</v>
      </c>
      <c r="E287" s="8">
        <f>Source!AU146</f>
        <v>10</v>
      </c>
      <c r="F287" s="21"/>
      <c r="G287" s="20"/>
      <c r="H287" s="8"/>
      <c r="I287" s="8"/>
      <c r="J287" s="21">
        <f>SUM(T282:T286)</f>
        <v>21759.02</v>
      </c>
      <c r="K287" s="21"/>
    </row>
    <row r="288" spans="1:22" ht="14.5" x14ac:dyDescent="0.35">
      <c r="A288" s="18"/>
      <c r="B288" s="18"/>
      <c r="C288" s="18" t="s">
        <v>376</v>
      </c>
      <c r="D288" s="19" t="s">
        <v>377</v>
      </c>
      <c r="E288" s="8">
        <f>Source!AQ146</f>
        <v>0.7</v>
      </c>
      <c r="F288" s="21"/>
      <c r="G288" s="20" t="str">
        <f>Source!DI146</f>
        <v/>
      </c>
      <c r="H288" s="8">
        <f>Source!AV146</f>
        <v>1</v>
      </c>
      <c r="I288" s="8"/>
      <c r="J288" s="21"/>
      <c r="K288" s="21">
        <f>Source!U146</f>
        <v>433.23699999999997</v>
      </c>
    </row>
    <row r="289" spans="1:22" ht="14" x14ac:dyDescent="0.3">
      <c r="A289" s="25"/>
      <c r="B289" s="25"/>
      <c r="C289" s="25"/>
      <c r="D289" s="25"/>
      <c r="E289" s="25"/>
      <c r="F289" s="25"/>
      <c r="G289" s="25"/>
      <c r="H289" s="25"/>
      <c r="I289" s="52">
        <f>J284+J286+J287+SUM(J285:J285)</f>
        <v>730886.91</v>
      </c>
      <c r="J289" s="52"/>
      <c r="K289" s="26">
        <f>IF(Source!I146&lt;&gt;0, ROUND(I289/Source!I146, 2), 0)</f>
        <v>1180.93</v>
      </c>
      <c r="P289" s="23">
        <f>I289</f>
        <v>730886.91</v>
      </c>
    </row>
    <row r="290" spans="1:22" ht="28" x14ac:dyDescent="0.35">
      <c r="A290" s="18">
        <v>34</v>
      </c>
      <c r="B290" s="18" t="str">
        <f>Source!F148</f>
        <v>5.4-3405-30-1/1</v>
      </c>
      <c r="C290" s="18" t="str">
        <f>Source!G148</f>
        <v>Формовочная обрезка, стрижка кустарников - диаметр до 1 м</v>
      </c>
      <c r="D290" s="19" t="str">
        <f>Source!H148</f>
        <v>10 шт.</v>
      </c>
      <c r="E290" s="8">
        <f>Source!I148</f>
        <v>262.89999999999998</v>
      </c>
      <c r="F290" s="21"/>
      <c r="G290" s="20"/>
      <c r="H290" s="8"/>
      <c r="I290" s="8"/>
      <c r="J290" s="21"/>
      <c r="K290" s="21"/>
      <c r="Q290">
        <f>ROUND((Source!BZ148/100)*ROUND((Source!AF148*Source!AV148)*Source!I148, 2), 2)</f>
        <v>1238072.8600000001</v>
      </c>
      <c r="R290">
        <f>Source!X148</f>
        <v>1238072.8600000001</v>
      </c>
      <c r="S290">
        <f>ROUND((Source!CA148/100)*ROUND((Source!AF148*Source!AV148)*Source!I148, 2), 2)</f>
        <v>176867.55</v>
      </c>
      <c r="T290">
        <f>Source!Y148</f>
        <v>176867.55</v>
      </c>
      <c r="U290">
        <f>ROUND((175/100)*ROUND((Source!AE148*Source!AV148)*Source!I148, 2), 2)</f>
        <v>0</v>
      </c>
      <c r="V290">
        <f>ROUND((108/100)*ROUND(Source!CS148*Source!I148, 2), 2)</f>
        <v>0</v>
      </c>
    </row>
    <row r="291" spans="1:22" x14ac:dyDescent="0.25">
      <c r="C291" s="30" t="str">
        <f>"Объем: "&amp;Source!I148&amp;"=2629/"&amp;"10"</f>
        <v>Объем: 262,9=2629/10</v>
      </c>
    </row>
    <row r="292" spans="1:22" ht="14.5" x14ac:dyDescent="0.35">
      <c r="A292" s="18"/>
      <c r="B292" s="18"/>
      <c r="C292" s="18" t="s">
        <v>373</v>
      </c>
      <c r="D292" s="19"/>
      <c r="E292" s="8"/>
      <c r="F292" s="21">
        <f>Source!AO148</f>
        <v>1121.26</v>
      </c>
      <c r="G292" s="20" t="str">
        <f>Source!DG148</f>
        <v>)*6</v>
      </c>
      <c r="H292" s="8">
        <f>Source!AV148</f>
        <v>1</v>
      </c>
      <c r="I292" s="8">
        <f>IF(Source!BA148&lt;&gt; 0, Source!BA148, 1)</f>
        <v>1</v>
      </c>
      <c r="J292" s="21">
        <f>Source!S148</f>
        <v>1768675.52</v>
      </c>
      <c r="K292" s="21"/>
    </row>
    <row r="293" spans="1:22" ht="14.5" x14ac:dyDescent="0.35">
      <c r="A293" s="18"/>
      <c r="B293" s="18"/>
      <c r="C293" s="18" t="s">
        <v>378</v>
      </c>
      <c r="D293" s="19"/>
      <c r="E293" s="8"/>
      <c r="F293" s="21">
        <f>Source!AL148</f>
        <v>1.38</v>
      </c>
      <c r="G293" s="20" t="str">
        <f>Source!DD148</f>
        <v>)*6</v>
      </c>
      <c r="H293" s="8">
        <f>Source!AW148</f>
        <v>1</v>
      </c>
      <c r="I293" s="8">
        <f>IF(Source!BC148&lt;&gt; 0, Source!BC148, 1)</f>
        <v>1</v>
      </c>
      <c r="J293" s="21">
        <f>Source!P148</f>
        <v>2176.81</v>
      </c>
      <c r="K293" s="21"/>
    </row>
    <row r="294" spans="1:22" ht="14.5" x14ac:dyDescent="0.35">
      <c r="A294" s="18"/>
      <c r="B294" s="18"/>
      <c r="C294" s="18" t="s">
        <v>374</v>
      </c>
      <c r="D294" s="19" t="s">
        <v>372</v>
      </c>
      <c r="E294" s="8">
        <f>Source!AT148</f>
        <v>70</v>
      </c>
      <c r="F294" s="21"/>
      <c r="G294" s="20"/>
      <c r="H294" s="8"/>
      <c r="I294" s="8"/>
      <c r="J294" s="21">
        <f>SUM(R290:R293)</f>
        <v>1238072.8600000001</v>
      </c>
      <c r="K294" s="21"/>
    </row>
    <row r="295" spans="1:22" ht="14.5" x14ac:dyDescent="0.35">
      <c r="A295" s="18"/>
      <c r="B295" s="18"/>
      <c r="C295" s="18" t="s">
        <v>375</v>
      </c>
      <c r="D295" s="19" t="s">
        <v>372</v>
      </c>
      <c r="E295" s="8">
        <f>Source!AU148</f>
        <v>10</v>
      </c>
      <c r="F295" s="21"/>
      <c r="G295" s="20"/>
      <c r="H295" s="8"/>
      <c r="I295" s="8"/>
      <c r="J295" s="21">
        <f>SUM(T290:T294)</f>
        <v>176867.55</v>
      </c>
      <c r="K295" s="21"/>
    </row>
    <row r="296" spans="1:22" ht="14.5" x14ac:dyDescent="0.35">
      <c r="A296" s="18"/>
      <c r="B296" s="18"/>
      <c r="C296" s="18" t="s">
        <v>376</v>
      </c>
      <c r="D296" s="19" t="s">
        <v>377</v>
      </c>
      <c r="E296" s="8">
        <f>Source!AQ148</f>
        <v>1.58</v>
      </c>
      <c r="F296" s="21"/>
      <c r="G296" s="20" t="str">
        <f>Source!DI148</f>
        <v>)*6</v>
      </c>
      <c r="H296" s="8">
        <f>Source!AV148</f>
        <v>1</v>
      </c>
      <c r="I296" s="8"/>
      <c r="J296" s="21"/>
      <c r="K296" s="21">
        <f>Source!U148</f>
        <v>2492.2919999999999</v>
      </c>
    </row>
    <row r="297" spans="1:22" ht="14" x14ac:dyDescent="0.3">
      <c r="A297" s="25"/>
      <c r="B297" s="25"/>
      <c r="C297" s="25"/>
      <c r="D297" s="25"/>
      <c r="E297" s="25"/>
      <c r="F297" s="25"/>
      <c r="G297" s="25"/>
      <c r="H297" s="25"/>
      <c r="I297" s="52">
        <f>J292+J293+J294+J295</f>
        <v>3185792.74</v>
      </c>
      <c r="J297" s="52"/>
      <c r="K297" s="26">
        <f>IF(Source!I148&lt;&gt;0, ROUND(I297/Source!I148, 2), 0)</f>
        <v>12117.89</v>
      </c>
      <c r="P297" s="23">
        <f>I297</f>
        <v>3185792.74</v>
      </c>
    </row>
    <row r="298" spans="1:22" ht="28" x14ac:dyDescent="0.35">
      <c r="A298" s="18">
        <v>35</v>
      </c>
      <c r="B298" s="18" t="str">
        <f>Source!F149</f>
        <v>5.4-3405-7-1/1</v>
      </c>
      <c r="C298" s="18" t="str">
        <f>Source!G149</f>
        <v>Полив зеленых насаждений из шланга поливомоечной машины (5 л на 1 м2)</v>
      </c>
      <c r="D298" s="19" t="str">
        <f>Source!H149</f>
        <v>м3</v>
      </c>
      <c r="E298" s="8">
        <f>Source!I149</f>
        <v>114.872</v>
      </c>
      <c r="F298" s="21"/>
      <c r="G298" s="20"/>
      <c r="H298" s="8"/>
      <c r="I298" s="8"/>
      <c r="J298" s="21"/>
      <c r="K298" s="21"/>
      <c r="Q298">
        <f>ROUND((Source!BZ149/100)*ROUND((Source!AF149*Source!AV149)*Source!I149, 2), 2)</f>
        <v>410649.48</v>
      </c>
      <c r="R298">
        <f>Source!X149</f>
        <v>410649.48</v>
      </c>
      <c r="S298">
        <f>ROUND((Source!CA149/100)*ROUND((Source!AF149*Source!AV149)*Source!I149, 2), 2)</f>
        <v>58664.21</v>
      </c>
      <c r="T298">
        <f>Source!Y149</f>
        <v>58664.21</v>
      </c>
      <c r="U298">
        <f>ROUND((175/100)*ROUND((Source!AE149*Source!AV149)*Source!I149, 2), 2)</f>
        <v>1747494.89</v>
      </c>
      <c r="V298">
        <f>ROUND((108/100)*ROUND(Source!CS149*Source!I149, 2), 2)</f>
        <v>1078453.99</v>
      </c>
    </row>
    <row r="299" spans="1:22" ht="14.5" x14ac:dyDescent="0.35">
      <c r="A299" s="18"/>
      <c r="B299" s="18"/>
      <c r="C299" s="18" t="s">
        <v>373</v>
      </c>
      <c r="D299" s="19"/>
      <c r="E299" s="8"/>
      <c r="F299" s="21">
        <f>Source!AO149</f>
        <v>182.39</v>
      </c>
      <c r="G299" s="20" t="str">
        <f>Source!DG149</f>
        <v>)*28</v>
      </c>
      <c r="H299" s="8">
        <f>Source!AV149</f>
        <v>1</v>
      </c>
      <c r="I299" s="8">
        <f>IF(Source!BA149&lt;&gt; 0, Source!BA149, 1)</f>
        <v>1</v>
      </c>
      <c r="J299" s="21">
        <f>Source!S149</f>
        <v>586642.11</v>
      </c>
      <c r="K299" s="21"/>
    </row>
    <row r="300" spans="1:22" ht="14.5" x14ac:dyDescent="0.35">
      <c r="A300" s="18"/>
      <c r="B300" s="18"/>
      <c r="C300" s="18" t="s">
        <v>369</v>
      </c>
      <c r="D300" s="19"/>
      <c r="E300" s="8"/>
      <c r="F300" s="21">
        <f>Source!AM149</f>
        <v>899.27</v>
      </c>
      <c r="G300" s="20" t="str">
        <f>Source!DE149</f>
        <v>)*28</v>
      </c>
      <c r="H300" s="8">
        <f>Source!AV149</f>
        <v>1</v>
      </c>
      <c r="I300" s="8">
        <f>IF(Source!BB149&lt;&gt; 0, Source!BB149, 1)</f>
        <v>1</v>
      </c>
      <c r="J300" s="21">
        <f>Source!Q149</f>
        <v>2892426.42</v>
      </c>
      <c r="K300" s="21"/>
    </row>
    <row r="301" spans="1:22" ht="14.5" x14ac:dyDescent="0.35">
      <c r="A301" s="18"/>
      <c r="B301" s="18"/>
      <c r="C301" s="18" t="s">
        <v>370</v>
      </c>
      <c r="D301" s="19"/>
      <c r="E301" s="8"/>
      <c r="F301" s="21">
        <f>Source!AN149</f>
        <v>310.45999999999998</v>
      </c>
      <c r="G301" s="20" t="str">
        <f>Source!DF149</f>
        <v>)*28</v>
      </c>
      <c r="H301" s="8">
        <f>Source!AV149</f>
        <v>1</v>
      </c>
      <c r="I301" s="8">
        <f>IF(Source!BS149&lt;&gt; 0, Source!BS149, 1)</f>
        <v>1</v>
      </c>
      <c r="J301" s="22">
        <f>Source!R149</f>
        <v>998568.51</v>
      </c>
      <c r="K301" s="21"/>
    </row>
    <row r="302" spans="1:22" ht="14.5" x14ac:dyDescent="0.35">
      <c r="A302" s="18"/>
      <c r="B302" s="18"/>
      <c r="C302" s="18" t="s">
        <v>378</v>
      </c>
      <c r="D302" s="19"/>
      <c r="E302" s="8"/>
      <c r="F302" s="21">
        <f>Source!AL149</f>
        <v>54.81</v>
      </c>
      <c r="G302" s="20" t="str">
        <f>Source!DD149</f>
        <v>)*28</v>
      </c>
      <c r="H302" s="8">
        <f>Source!AW149</f>
        <v>1</v>
      </c>
      <c r="I302" s="8">
        <f>IF(Source!BC149&lt;&gt; 0, Source!BC149, 1)</f>
        <v>1</v>
      </c>
      <c r="J302" s="21">
        <f>Source!P149</f>
        <v>176291.76</v>
      </c>
      <c r="K302" s="21"/>
    </row>
    <row r="303" spans="1:22" ht="14.5" x14ac:dyDescent="0.35">
      <c r="A303" s="18" t="s">
        <v>244</v>
      </c>
      <c r="B303" s="18" t="str">
        <f>Source!F150</f>
        <v>21.1-25-13</v>
      </c>
      <c r="C303" s="18" t="str">
        <f>Source!G150</f>
        <v>Вода</v>
      </c>
      <c r="D303" s="19" t="str">
        <f>Source!H150</f>
        <v>м3</v>
      </c>
      <c r="E303" s="8">
        <f>Source!I150</f>
        <v>-3216.4160000000002</v>
      </c>
      <c r="F303" s="21">
        <f>Source!AK150</f>
        <v>54.81</v>
      </c>
      <c r="G303" s="27" t="s">
        <v>383</v>
      </c>
      <c r="H303" s="8">
        <f>Source!AW150</f>
        <v>1</v>
      </c>
      <c r="I303" s="8">
        <f>IF(Source!BC150&lt;&gt; 0, Source!BC150, 1)</f>
        <v>1</v>
      </c>
      <c r="J303" s="21">
        <f>Source!O150</f>
        <v>-176291.76</v>
      </c>
      <c r="K303" s="21"/>
      <c r="Q303">
        <f>ROUND((Source!BZ150/100)*ROUND((Source!AF150*Source!AV150)*Source!I150, 2), 2)</f>
        <v>0</v>
      </c>
      <c r="R303">
        <f>Source!X150</f>
        <v>0</v>
      </c>
      <c r="S303">
        <f>ROUND((Source!CA150/100)*ROUND((Source!AF150*Source!AV150)*Source!I150, 2), 2)</f>
        <v>0</v>
      </c>
      <c r="T303">
        <f>Source!Y150</f>
        <v>0</v>
      </c>
      <c r="U303">
        <f>ROUND((175/100)*ROUND((Source!AE150*Source!AV150)*Source!I150, 2), 2)</f>
        <v>0</v>
      </c>
      <c r="V303">
        <f>ROUND((108/100)*ROUND(Source!CS150*Source!I150, 2), 2)</f>
        <v>0</v>
      </c>
    </row>
    <row r="304" spans="1:22" ht="14.5" x14ac:dyDescent="0.35">
      <c r="A304" s="18"/>
      <c r="B304" s="18"/>
      <c r="C304" s="18" t="s">
        <v>374</v>
      </c>
      <c r="D304" s="19" t="s">
        <v>372</v>
      </c>
      <c r="E304" s="8">
        <f>Source!AT149</f>
        <v>70</v>
      </c>
      <c r="F304" s="21"/>
      <c r="G304" s="20"/>
      <c r="H304" s="8"/>
      <c r="I304" s="8"/>
      <c r="J304" s="21">
        <f>SUM(R298:R303)</f>
        <v>410649.48</v>
      </c>
      <c r="K304" s="21"/>
    </row>
    <row r="305" spans="1:22" ht="14.5" x14ac:dyDescent="0.35">
      <c r="A305" s="18"/>
      <c r="B305" s="18"/>
      <c r="C305" s="18" t="s">
        <v>375</v>
      </c>
      <c r="D305" s="19" t="s">
        <v>372</v>
      </c>
      <c r="E305" s="8">
        <f>Source!AU149</f>
        <v>10</v>
      </c>
      <c r="F305" s="21"/>
      <c r="G305" s="20"/>
      <c r="H305" s="8"/>
      <c r="I305" s="8"/>
      <c r="J305" s="21">
        <f>SUM(T298:T304)</f>
        <v>58664.21</v>
      </c>
      <c r="K305" s="21"/>
    </row>
    <row r="306" spans="1:22" ht="14.5" x14ac:dyDescent="0.35">
      <c r="A306" s="18"/>
      <c r="B306" s="18"/>
      <c r="C306" s="18" t="s">
        <v>371</v>
      </c>
      <c r="D306" s="19" t="s">
        <v>372</v>
      </c>
      <c r="E306" s="8">
        <f>108</f>
        <v>108</v>
      </c>
      <c r="F306" s="21"/>
      <c r="G306" s="20"/>
      <c r="H306" s="8"/>
      <c r="I306" s="8"/>
      <c r="J306" s="21">
        <f>SUM(V298:V305)</f>
        <v>1078453.99</v>
      </c>
      <c r="K306" s="21"/>
    </row>
    <row r="307" spans="1:22" ht="14.5" x14ac:dyDescent="0.35">
      <c r="A307" s="18"/>
      <c r="B307" s="18"/>
      <c r="C307" s="18" t="s">
        <v>376</v>
      </c>
      <c r="D307" s="19" t="s">
        <v>377</v>
      </c>
      <c r="E307" s="8">
        <f>Source!AQ149</f>
        <v>0.56000000000000005</v>
      </c>
      <c r="F307" s="21"/>
      <c r="G307" s="20" t="str">
        <f>Source!DI149</f>
        <v>)*28</v>
      </c>
      <c r="H307" s="8">
        <f>Source!AV149</f>
        <v>1</v>
      </c>
      <c r="I307" s="8"/>
      <c r="J307" s="21"/>
      <c r="K307" s="21">
        <f>Source!U149</f>
        <v>1801.1929600000001</v>
      </c>
    </row>
    <row r="308" spans="1:22" ht="14" x14ac:dyDescent="0.3">
      <c r="A308" s="25"/>
      <c r="B308" s="25"/>
      <c r="C308" s="25"/>
      <c r="D308" s="25"/>
      <c r="E308" s="25"/>
      <c r="F308" s="25"/>
      <c r="G308" s="25"/>
      <c r="H308" s="25"/>
      <c r="I308" s="52">
        <f>J299+J300+J302+J304+J305+J306+SUM(J303:J303)</f>
        <v>5026836.21</v>
      </c>
      <c r="J308" s="52"/>
      <c r="K308" s="26">
        <f>IF(Source!I149&lt;&gt;0, ROUND(I308/Source!I149, 2), 0)</f>
        <v>43760.33</v>
      </c>
      <c r="P308" s="23">
        <f>I308</f>
        <v>5026836.21</v>
      </c>
    </row>
    <row r="309" spans="1:22" ht="28" x14ac:dyDescent="0.35">
      <c r="A309" s="18">
        <v>36</v>
      </c>
      <c r="B309" s="18" t="str">
        <f>Source!F151</f>
        <v>5.4-3405-12-2/1</v>
      </c>
      <c r="C309" s="18" t="str">
        <f>Source!G151</f>
        <v>Прополка цветников с применением полотиков</v>
      </c>
      <c r="D309" s="19" t="str">
        <f>Source!H151</f>
        <v>100 м2</v>
      </c>
      <c r="E309" s="8">
        <f>Source!I151</f>
        <v>229.74299999999999</v>
      </c>
      <c r="F309" s="21"/>
      <c r="G309" s="20"/>
      <c r="H309" s="8"/>
      <c r="I309" s="8"/>
      <c r="J309" s="21"/>
      <c r="K309" s="21"/>
      <c r="Q309">
        <f>ROUND((Source!BZ151/100)*ROUND((Source!AF151*Source!AV151)*Source!I151, 2), 2)</f>
        <v>1920957.5</v>
      </c>
      <c r="R309">
        <f>Source!X151</f>
        <v>1920957.5</v>
      </c>
      <c r="S309">
        <f>ROUND((Source!CA151/100)*ROUND((Source!AF151*Source!AV151)*Source!I151, 2), 2)</f>
        <v>274422.5</v>
      </c>
      <c r="T309">
        <f>Source!Y151</f>
        <v>274422.5</v>
      </c>
      <c r="U309">
        <f>ROUND((175/100)*ROUND((Source!AE151*Source!AV151)*Source!I151, 2), 2)</f>
        <v>0</v>
      </c>
      <c r="V309">
        <f>ROUND((108/100)*ROUND(Source!CS151*Source!I151, 2), 2)</f>
        <v>0</v>
      </c>
    </row>
    <row r="310" spans="1:22" x14ac:dyDescent="0.25">
      <c r="C310" s="30" t="str">
        <f>"Объем: "&amp;Source!I151&amp;"=22974,3/"&amp;"100"</f>
        <v>Объем: 229,743=22974,3/100</v>
      </c>
    </row>
    <row r="311" spans="1:22" ht="14.5" x14ac:dyDescent="0.35">
      <c r="A311" s="18"/>
      <c r="B311" s="18"/>
      <c r="C311" s="18" t="s">
        <v>373</v>
      </c>
      <c r="D311" s="19"/>
      <c r="E311" s="8"/>
      <c r="F311" s="21">
        <f>Source!AO151</f>
        <v>2986.19</v>
      </c>
      <c r="G311" s="20" t="str">
        <f>Source!DG151</f>
        <v>)*4</v>
      </c>
      <c r="H311" s="8">
        <f>Source!AV151</f>
        <v>1</v>
      </c>
      <c r="I311" s="8">
        <f>IF(Source!BA151&lt;&gt; 0, Source!BA151, 1)</f>
        <v>1</v>
      </c>
      <c r="J311" s="21">
        <f>Source!S151</f>
        <v>2744225</v>
      </c>
      <c r="K311" s="21"/>
    </row>
    <row r="312" spans="1:22" ht="14.5" x14ac:dyDescent="0.35">
      <c r="A312" s="18"/>
      <c r="B312" s="18"/>
      <c r="C312" s="18" t="s">
        <v>374</v>
      </c>
      <c r="D312" s="19" t="s">
        <v>372</v>
      </c>
      <c r="E312" s="8">
        <f>Source!AT151</f>
        <v>70</v>
      </c>
      <c r="F312" s="21"/>
      <c r="G312" s="20"/>
      <c r="H312" s="8"/>
      <c r="I312" s="8"/>
      <c r="J312" s="21">
        <f>SUM(R309:R311)</f>
        <v>1920957.5</v>
      </c>
      <c r="K312" s="21"/>
    </row>
    <row r="313" spans="1:22" ht="14.5" x14ac:dyDescent="0.35">
      <c r="A313" s="18"/>
      <c r="B313" s="18"/>
      <c r="C313" s="18" t="s">
        <v>375</v>
      </c>
      <c r="D313" s="19" t="s">
        <v>372</v>
      </c>
      <c r="E313" s="8">
        <f>Source!AU151</f>
        <v>10</v>
      </c>
      <c r="F313" s="21"/>
      <c r="G313" s="20"/>
      <c r="H313" s="8"/>
      <c r="I313" s="8"/>
      <c r="J313" s="21">
        <f>SUM(T309:T312)</f>
        <v>274422.5</v>
      </c>
      <c r="K313" s="21"/>
    </row>
    <row r="314" spans="1:22" ht="14.5" x14ac:dyDescent="0.35">
      <c r="A314" s="18"/>
      <c r="B314" s="18"/>
      <c r="C314" s="18" t="s">
        <v>376</v>
      </c>
      <c r="D314" s="19" t="s">
        <v>377</v>
      </c>
      <c r="E314" s="8">
        <f>Source!AQ151</f>
        <v>6.59</v>
      </c>
      <c r="F314" s="21"/>
      <c r="G314" s="20" t="str">
        <f>Source!DI151</f>
        <v>)*4</v>
      </c>
      <c r="H314" s="8">
        <f>Source!AV151</f>
        <v>1</v>
      </c>
      <c r="I314" s="8"/>
      <c r="J314" s="21"/>
      <c r="K314" s="21">
        <f>Source!U151</f>
        <v>6056.0254799999993</v>
      </c>
    </row>
    <row r="315" spans="1:22" ht="14" x14ac:dyDescent="0.3">
      <c r="A315" s="25"/>
      <c r="B315" s="25"/>
      <c r="C315" s="25"/>
      <c r="D315" s="25"/>
      <c r="E315" s="25"/>
      <c r="F315" s="25"/>
      <c r="G315" s="25"/>
      <c r="H315" s="25"/>
      <c r="I315" s="52">
        <f>J311+J312+J313</f>
        <v>4939605</v>
      </c>
      <c r="J315" s="52"/>
      <c r="K315" s="26">
        <f>IF(Source!I151&lt;&gt;0, ROUND(I315/Source!I151, 2), 0)</f>
        <v>21500.57</v>
      </c>
      <c r="P315" s="23">
        <f>I315</f>
        <v>4939605</v>
      </c>
    </row>
    <row r="316" spans="1:22" ht="28" x14ac:dyDescent="0.35">
      <c r="A316" s="18">
        <v>37</v>
      </c>
      <c r="B316" s="18" t="str">
        <f>Source!F152</f>
        <v>5.4-3405-19-1/1</v>
      </c>
      <c r="C316" s="18" t="str">
        <f>Source!G152</f>
        <v>Обрезка стеблей отцветших цветочных растений и относ их за пределы цветника</v>
      </c>
      <c r="D316" s="19" t="str">
        <f>Source!H152</f>
        <v>100 м2</v>
      </c>
      <c r="E316" s="8">
        <f>Source!I152</f>
        <v>229.74299999999999</v>
      </c>
      <c r="F316" s="21"/>
      <c r="G316" s="20"/>
      <c r="H316" s="8"/>
      <c r="I316" s="8"/>
      <c r="J316" s="21"/>
      <c r="K316" s="21"/>
      <c r="Q316">
        <f>ROUND((Source!BZ152/100)*ROUND((Source!AF152*Source!AV152)*Source!I152, 2), 2)</f>
        <v>347241.15</v>
      </c>
      <c r="R316">
        <f>Source!X152</f>
        <v>347241.15</v>
      </c>
      <c r="S316">
        <f>ROUND((Source!CA152/100)*ROUND((Source!AF152*Source!AV152)*Source!I152, 2), 2)</f>
        <v>49605.88</v>
      </c>
      <c r="T316">
        <f>Source!Y152</f>
        <v>49605.88</v>
      </c>
      <c r="U316">
        <f>ROUND((175/100)*ROUND((Source!AE152*Source!AV152)*Source!I152, 2), 2)</f>
        <v>0</v>
      </c>
      <c r="V316">
        <f>ROUND((108/100)*ROUND(Source!CS152*Source!I152, 2), 2)</f>
        <v>0</v>
      </c>
    </row>
    <row r="317" spans="1:22" x14ac:dyDescent="0.25">
      <c r="C317" s="30" t="str">
        <f>"Объем: "&amp;Source!I152&amp;"=22974,3/"&amp;"100"</f>
        <v>Объем: 229,743=22974,3/100</v>
      </c>
    </row>
    <row r="318" spans="1:22" ht="14.5" x14ac:dyDescent="0.35">
      <c r="A318" s="18"/>
      <c r="B318" s="18"/>
      <c r="C318" s="18" t="s">
        <v>373</v>
      </c>
      <c r="D318" s="19"/>
      <c r="E318" s="8"/>
      <c r="F318" s="21">
        <f>Source!AO152</f>
        <v>719.73</v>
      </c>
      <c r="G318" s="20" t="str">
        <f>Source!DG152</f>
        <v>)*3</v>
      </c>
      <c r="H318" s="8">
        <f>Source!AV152</f>
        <v>1</v>
      </c>
      <c r="I318" s="8">
        <f>IF(Source!BA152&lt;&gt; 0, Source!BA152, 1)</f>
        <v>1</v>
      </c>
      <c r="J318" s="21">
        <f>Source!S152</f>
        <v>496058.79</v>
      </c>
      <c r="K318" s="21"/>
    </row>
    <row r="319" spans="1:22" ht="14.5" x14ac:dyDescent="0.35">
      <c r="A319" s="18"/>
      <c r="B319" s="18"/>
      <c r="C319" s="18" t="s">
        <v>374</v>
      </c>
      <c r="D319" s="19" t="s">
        <v>372</v>
      </c>
      <c r="E319" s="8">
        <f>Source!AT152</f>
        <v>70</v>
      </c>
      <c r="F319" s="21"/>
      <c r="G319" s="20"/>
      <c r="H319" s="8"/>
      <c r="I319" s="8"/>
      <c r="J319" s="21">
        <f>SUM(R316:R318)</f>
        <v>347241.15</v>
      </c>
      <c r="K319" s="21"/>
    </row>
    <row r="320" spans="1:22" ht="14.5" x14ac:dyDescent="0.35">
      <c r="A320" s="18"/>
      <c r="B320" s="18"/>
      <c r="C320" s="18" t="s">
        <v>375</v>
      </c>
      <c r="D320" s="19" t="s">
        <v>372</v>
      </c>
      <c r="E320" s="8">
        <f>Source!AU152</f>
        <v>10</v>
      </c>
      <c r="F320" s="21"/>
      <c r="G320" s="20"/>
      <c r="H320" s="8"/>
      <c r="I320" s="8"/>
      <c r="J320" s="21">
        <f>SUM(T316:T319)</f>
        <v>49605.88</v>
      </c>
      <c r="K320" s="21"/>
    </row>
    <row r="321" spans="1:22" ht="14.5" x14ac:dyDescent="0.35">
      <c r="A321" s="18"/>
      <c r="B321" s="18"/>
      <c r="C321" s="18" t="s">
        <v>376</v>
      </c>
      <c r="D321" s="19" t="s">
        <v>377</v>
      </c>
      <c r="E321" s="8">
        <f>Source!AQ152</f>
        <v>1.42</v>
      </c>
      <c r="F321" s="21"/>
      <c r="G321" s="20" t="str">
        <f>Source!DI152</f>
        <v>)*3</v>
      </c>
      <c r="H321" s="8">
        <f>Source!AV152</f>
        <v>1</v>
      </c>
      <c r="I321" s="8"/>
      <c r="J321" s="21"/>
      <c r="K321" s="21">
        <f>Source!U152</f>
        <v>978.70517999999993</v>
      </c>
    </row>
    <row r="322" spans="1:22" ht="14" x14ac:dyDescent="0.3">
      <c r="A322" s="25"/>
      <c r="B322" s="25"/>
      <c r="C322" s="25"/>
      <c r="D322" s="25"/>
      <c r="E322" s="25"/>
      <c r="F322" s="25"/>
      <c r="G322" s="25"/>
      <c r="H322" s="25"/>
      <c r="I322" s="52">
        <f>J318+J319+J320</f>
        <v>892905.82</v>
      </c>
      <c r="J322" s="52"/>
      <c r="K322" s="26">
        <f>IF(Source!I152&lt;&gt;0, ROUND(I322/Source!I152, 2), 0)</f>
        <v>3886.54</v>
      </c>
      <c r="P322" s="23">
        <f>I322</f>
        <v>892905.82</v>
      </c>
    </row>
    <row r="323" spans="1:22" ht="84" x14ac:dyDescent="0.35">
      <c r="A323" s="18">
        <v>38</v>
      </c>
      <c r="B323" s="18" t="str">
        <f>Source!F153</f>
        <v>5.4-3405-24-1/1</v>
      </c>
      <c r="C323" s="18" t="str">
        <f>Source!G153</f>
        <v>Опрыскивание растений из ранцевого опрыскивателя комплексным органическим жидким многофункциональным удобрением на основе вермикомпоста (без стоимости удобрения)</v>
      </c>
      <c r="D323" s="19" t="str">
        <f>Source!H153</f>
        <v>100 м2</v>
      </c>
      <c r="E323" s="8">
        <f>Source!I153</f>
        <v>229.74299999999999</v>
      </c>
      <c r="F323" s="21"/>
      <c r="G323" s="20"/>
      <c r="H323" s="8"/>
      <c r="I323" s="8"/>
      <c r="J323" s="21"/>
      <c r="K323" s="21"/>
      <c r="Q323">
        <f>ROUND((Source!BZ153/100)*ROUND((Source!AF153*Source!AV153)*Source!I153, 2), 2)</f>
        <v>38130.449999999997</v>
      </c>
      <c r="R323">
        <f>Source!X153</f>
        <v>38130.449999999997</v>
      </c>
      <c r="S323">
        <f>ROUND((Source!CA153/100)*ROUND((Source!AF153*Source!AV153)*Source!I153, 2), 2)</f>
        <v>5447.21</v>
      </c>
      <c r="T323">
        <f>Source!Y153</f>
        <v>5447.21</v>
      </c>
      <c r="U323">
        <f>ROUND((175/100)*ROUND((Source!AE153*Source!AV153)*Source!I153, 2), 2)</f>
        <v>32.17</v>
      </c>
      <c r="V323">
        <f>ROUND((108/100)*ROUND(Source!CS153*Source!I153, 2), 2)</f>
        <v>19.850000000000001</v>
      </c>
    </row>
    <row r="324" spans="1:22" x14ac:dyDescent="0.25">
      <c r="C324" s="30" t="str">
        <f>"Объем: "&amp;Source!I153&amp;"=22974,3/"&amp;"100"</f>
        <v>Объем: 229,743=22974,3/100</v>
      </c>
    </row>
    <row r="325" spans="1:22" ht="14.5" x14ac:dyDescent="0.35">
      <c r="A325" s="18"/>
      <c r="B325" s="18"/>
      <c r="C325" s="18" t="s">
        <v>373</v>
      </c>
      <c r="D325" s="19"/>
      <c r="E325" s="8"/>
      <c r="F325" s="21">
        <f>Source!AO153</f>
        <v>118.55</v>
      </c>
      <c r="G325" s="20" t="str">
        <f>Source!DG153</f>
        <v>)*2</v>
      </c>
      <c r="H325" s="8">
        <f>Source!AV153</f>
        <v>1</v>
      </c>
      <c r="I325" s="8">
        <f>IF(Source!BA153&lt;&gt; 0, Source!BA153, 1)</f>
        <v>1</v>
      </c>
      <c r="J325" s="21">
        <f>Source!S153</f>
        <v>54472.07</v>
      </c>
      <c r="K325" s="21"/>
    </row>
    <row r="326" spans="1:22" ht="14.5" x14ac:dyDescent="0.35">
      <c r="A326" s="18"/>
      <c r="B326" s="18"/>
      <c r="C326" s="18" t="s">
        <v>369</v>
      </c>
      <c r="D326" s="19"/>
      <c r="E326" s="8"/>
      <c r="F326" s="21">
        <f>Source!AM153</f>
        <v>19.71</v>
      </c>
      <c r="G326" s="20" t="str">
        <f>Source!DE153</f>
        <v>)*2</v>
      </c>
      <c r="H326" s="8">
        <f>Source!AV153</f>
        <v>1</v>
      </c>
      <c r="I326" s="8">
        <f>IF(Source!BB153&lt;&gt; 0, Source!BB153, 1)</f>
        <v>1</v>
      </c>
      <c r="J326" s="21">
        <f>Source!Q153</f>
        <v>9056.4699999999993</v>
      </c>
      <c r="K326" s="21"/>
    </row>
    <row r="327" spans="1:22" ht="14.5" x14ac:dyDescent="0.35">
      <c r="A327" s="18"/>
      <c r="B327" s="18"/>
      <c r="C327" s="18" t="s">
        <v>370</v>
      </c>
      <c r="D327" s="19"/>
      <c r="E327" s="8"/>
      <c r="F327" s="21">
        <f>Source!AN153</f>
        <v>0.04</v>
      </c>
      <c r="G327" s="20" t="str">
        <f>Source!DF153</f>
        <v>)*2</v>
      </c>
      <c r="H327" s="8">
        <f>Source!AV153</f>
        <v>1</v>
      </c>
      <c r="I327" s="8">
        <f>IF(Source!BS153&lt;&gt; 0, Source!BS153, 1)</f>
        <v>1</v>
      </c>
      <c r="J327" s="22">
        <f>Source!R153</f>
        <v>18.38</v>
      </c>
      <c r="K327" s="21"/>
    </row>
    <row r="328" spans="1:22" ht="14.5" x14ac:dyDescent="0.35">
      <c r="A328" s="18"/>
      <c r="B328" s="18"/>
      <c r="C328" s="18" t="s">
        <v>378</v>
      </c>
      <c r="D328" s="19"/>
      <c r="E328" s="8"/>
      <c r="F328" s="21">
        <f>Source!AL153</f>
        <v>0.55000000000000004</v>
      </c>
      <c r="G328" s="20" t="str">
        <f>Source!DD153</f>
        <v>)*2</v>
      </c>
      <c r="H328" s="8">
        <f>Source!AW153</f>
        <v>1</v>
      </c>
      <c r="I328" s="8">
        <f>IF(Source!BC153&lt;&gt; 0, Source!BC153, 1)</f>
        <v>1</v>
      </c>
      <c r="J328" s="21">
        <f>Source!P153</f>
        <v>252.72</v>
      </c>
      <c r="K328" s="21"/>
    </row>
    <row r="329" spans="1:22" ht="56" x14ac:dyDescent="0.35">
      <c r="A329" s="18" t="s">
        <v>260</v>
      </c>
      <c r="B329" s="18" t="str">
        <f>Source!F154</f>
        <v>21.4-4-31</v>
      </c>
      <c r="C329" s="18" t="str">
        <f>Source!G154</f>
        <v>Удобрение - биостимулятор, органическое жидкое, антистрессовое, для некорневой подкормки, типа Текамин Макс (N 7%)</v>
      </c>
      <c r="D329" s="19" t="str">
        <f>Source!H154</f>
        <v>л</v>
      </c>
      <c r="E329" s="8">
        <f>Source!I154</f>
        <v>45.948599999999999</v>
      </c>
      <c r="F329" s="21">
        <f>Source!AK154</f>
        <v>947.97</v>
      </c>
      <c r="G329" s="27" t="s">
        <v>386</v>
      </c>
      <c r="H329" s="8">
        <f>Source!AW154</f>
        <v>1</v>
      </c>
      <c r="I329" s="8">
        <f>IF(Source!BC154&lt;&gt; 0, Source!BC154, 1)</f>
        <v>1</v>
      </c>
      <c r="J329" s="21">
        <f>Source!O154</f>
        <v>43557.89</v>
      </c>
      <c r="K329" s="21"/>
      <c r="Q329">
        <f>ROUND((Source!BZ154/100)*ROUND((Source!AF154*Source!AV154)*Source!I154, 2), 2)</f>
        <v>0</v>
      </c>
      <c r="R329">
        <f>Source!X154</f>
        <v>0</v>
      </c>
      <c r="S329">
        <f>ROUND((Source!CA154/100)*ROUND((Source!AF154*Source!AV154)*Source!I154, 2), 2)</f>
        <v>0</v>
      </c>
      <c r="T329">
        <f>Source!Y154</f>
        <v>0</v>
      </c>
      <c r="U329">
        <f>ROUND((175/100)*ROUND((Source!AE154*Source!AV154)*Source!I154, 2), 2)</f>
        <v>0</v>
      </c>
      <c r="V329">
        <f>ROUND((108/100)*ROUND(Source!CS154*Source!I154, 2), 2)</f>
        <v>0</v>
      </c>
    </row>
    <row r="330" spans="1:22" ht="14.5" x14ac:dyDescent="0.35">
      <c r="A330" s="18"/>
      <c r="B330" s="18"/>
      <c r="C330" s="18" t="s">
        <v>374</v>
      </c>
      <c r="D330" s="19" t="s">
        <v>372</v>
      </c>
      <c r="E330" s="8">
        <f>Source!AT153</f>
        <v>70</v>
      </c>
      <c r="F330" s="21"/>
      <c r="G330" s="20"/>
      <c r="H330" s="8"/>
      <c r="I330" s="8"/>
      <c r="J330" s="21">
        <f>SUM(R323:R329)</f>
        <v>38130.449999999997</v>
      </c>
      <c r="K330" s="21"/>
    </row>
    <row r="331" spans="1:22" ht="14.5" x14ac:dyDescent="0.35">
      <c r="A331" s="18"/>
      <c r="B331" s="18"/>
      <c r="C331" s="18" t="s">
        <v>375</v>
      </c>
      <c r="D331" s="19" t="s">
        <v>372</v>
      </c>
      <c r="E331" s="8">
        <f>Source!AU153</f>
        <v>10</v>
      </c>
      <c r="F331" s="21"/>
      <c r="G331" s="20"/>
      <c r="H331" s="8"/>
      <c r="I331" s="8"/>
      <c r="J331" s="21">
        <f>SUM(T323:T330)</f>
        <v>5447.21</v>
      </c>
      <c r="K331" s="21"/>
    </row>
    <row r="332" spans="1:22" ht="14.5" x14ac:dyDescent="0.35">
      <c r="A332" s="18"/>
      <c r="B332" s="18"/>
      <c r="C332" s="18" t="s">
        <v>371</v>
      </c>
      <c r="D332" s="19" t="s">
        <v>372</v>
      </c>
      <c r="E332" s="8">
        <f>108</f>
        <v>108</v>
      </c>
      <c r="F332" s="21"/>
      <c r="G332" s="20"/>
      <c r="H332" s="8"/>
      <c r="I332" s="8"/>
      <c r="J332" s="21">
        <f>SUM(V323:V331)</f>
        <v>19.850000000000001</v>
      </c>
      <c r="K332" s="21"/>
    </row>
    <row r="333" spans="1:22" ht="14.5" x14ac:dyDescent="0.35">
      <c r="A333" s="18"/>
      <c r="B333" s="18"/>
      <c r="C333" s="18" t="s">
        <v>376</v>
      </c>
      <c r="D333" s="19" t="s">
        <v>377</v>
      </c>
      <c r="E333" s="8">
        <f>Source!AQ153</f>
        <v>0.18</v>
      </c>
      <c r="F333" s="21"/>
      <c r="G333" s="20" t="str">
        <f>Source!DI153</f>
        <v>)*2</v>
      </c>
      <c r="H333" s="8">
        <f>Source!AV153</f>
        <v>1</v>
      </c>
      <c r="I333" s="8"/>
      <c r="J333" s="21"/>
      <c r="K333" s="21">
        <f>Source!U153</f>
        <v>82.70747999999999</v>
      </c>
    </row>
    <row r="334" spans="1:22" ht="14" x14ac:dyDescent="0.3">
      <c r="A334" s="25"/>
      <c r="B334" s="25"/>
      <c r="C334" s="25"/>
      <c r="D334" s="25"/>
      <c r="E334" s="25"/>
      <c r="F334" s="25"/>
      <c r="G334" s="25"/>
      <c r="H334" s="25"/>
      <c r="I334" s="52">
        <f>J325+J326+J328+J330+J331+J332+SUM(J329:J329)</f>
        <v>150936.66</v>
      </c>
      <c r="J334" s="52"/>
      <c r="K334" s="26">
        <f>IF(Source!I153&lt;&gt;0, ROUND(I334/Source!I153, 2), 0)</f>
        <v>656.98</v>
      </c>
      <c r="P334" s="23">
        <f>I334</f>
        <v>150936.66</v>
      </c>
    </row>
    <row r="335" spans="1:22" ht="28" x14ac:dyDescent="0.35">
      <c r="A335" s="18">
        <v>39</v>
      </c>
      <c r="B335" s="18" t="str">
        <f>Source!F155</f>
        <v>5.4-3101-1-1/1</v>
      </c>
      <c r="C335" s="18" t="str">
        <f>Source!G155</f>
        <v>Формовочная обрезка деревьев высотой до 5 м</v>
      </c>
      <c r="D335" s="19" t="str">
        <f>Source!H155</f>
        <v>дерево</v>
      </c>
      <c r="E335" s="8">
        <f>Source!I155</f>
        <v>313</v>
      </c>
      <c r="F335" s="21"/>
      <c r="G335" s="20"/>
      <c r="H335" s="8"/>
      <c r="I335" s="8"/>
      <c r="J335" s="21"/>
      <c r="K335" s="21"/>
      <c r="Q335">
        <f>ROUND((Source!BZ155/100)*ROUND((Source!AF155*Source!AV155)*Source!I155, 2), 2)</f>
        <v>215353.39</v>
      </c>
      <c r="R335">
        <f>Source!X155</f>
        <v>215353.39</v>
      </c>
      <c r="S335">
        <f>ROUND((Source!CA155/100)*ROUND((Source!AF155*Source!AV155)*Source!I155, 2), 2)</f>
        <v>30764.77</v>
      </c>
      <c r="T335">
        <f>Source!Y155</f>
        <v>30764.77</v>
      </c>
      <c r="U335">
        <f>ROUND((175/100)*ROUND((Source!AE155*Source!AV155)*Source!I155, 2), 2)</f>
        <v>0</v>
      </c>
      <c r="V335">
        <f>ROUND((108/100)*ROUND(Source!CS155*Source!I155, 2), 2)</f>
        <v>0</v>
      </c>
    </row>
    <row r="336" spans="1:22" ht="14.5" x14ac:dyDescent="0.35">
      <c r="A336" s="18"/>
      <c r="B336" s="18"/>
      <c r="C336" s="18" t="s">
        <v>373</v>
      </c>
      <c r="D336" s="19"/>
      <c r="E336" s="8"/>
      <c r="F336" s="21">
        <f>Source!AO155</f>
        <v>491.45</v>
      </c>
      <c r="G336" s="20" t="str">
        <f>Source!DG155</f>
        <v>)*2</v>
      </c>
      <c r="H336" s="8">
        <f>Source!AV155</f>
        <v>1</v>
      </c>
      <c r="I336" s="8">
        <f>IF(Source!BA155&lt;&gt; 0, Source!BA155, 1)</f>
        <v>1</v>
      </c>
      <c r="J336" s="21">
        <f>Source!S155</f>
        <v>307647.7</v>
      </c>
      <c r="K336" s="21"/>
    </row>
    <row r="337" spans="1:22" ht="14.5" x14ac:dyDescent="0.35">
      <c r="A337" s="18"/>
      <c r="B337" s="18"/>
      <c r="C337" s="18" t="s">
        <v>374</v>
      </c>
      <c r="D337" s="19" t="s">
        <v>372</v>
      </c>
      <c r="E337" s="8">
        <f>Source!AT155</f>
        <v>70</v>
      </c>
      <c r="F337" s="21"/>
      <c r="G337" s="20"/>
      <c r="H337" s="8"/>
      <c r="I337" s="8"/>
      <c r="J337" s="21">
        <f>SUM(R335:R336)</f>
        <v>215353.39</v>
      </c>
      <c r="K337" s="21"/>
    </row>
    <row r="338" spans="1:22" ht="14.5" x14ac:dyDescent="0.35">
      <c r="A338" s="18"/>
      <c r="B338" s="18"/>
      <c r="C338" s="18" t="s">
        <v>375</v>
      </c>
      <c r="D338" s="19" t="s">
        <v>372</v>
      </c>
      <c r="E338" s="8">
        <f>Source!AU155</f>
        <v>10</v>
      </c>
      <c r="F338" s="21"/>
      <c r="G338" s="20"/>
      <c r="H338" s="8"/>
      <c r="I338" s="8"/>
      <c r="J338" s="21">
        <f>SUM(T335:T337)</f>
        <v>30764.77</v>
      </c>
      <c r="K338" s="21"/>
    </row>
    <row r="339" spans="1:22" ht="14.5" x14ac:dyDescent="0.35">
      <c r="A339" s="18"/>
      <c r="B339" s="18"/>
      <c r="C339" s="18" t="s">
        <v>376</v>
      </c>
      <c r="D339" s="19" t="s">
        <v>377</v>
      </c>
      <c r="E339" s="8">
        <f>Source!AQ155</f>
        <v>0.98</v>
      </c>
      <c r="F339" s="21"/>
      <c r="G339" s="20" t="str">
        <f>Source!DI155</f>
        <v>)*2</v>
      </c>
      <c r="H339" s="8">
        <f>Source!AV155</f>
        <v>1</v>
      </c>
      <c r="I339" s="8"/>
      <c r="J339" s="21"/>
      <c r="K339" s="21">
        <f>Source!U155</f>
        <v>613.48</v>
      </c>
    </row>
    <row r="340" spans="1:22" ht="14" x14ac:dyDescent="0.3">
      <c r="A340" s="25"/>
      <c r="B340" s="25"/>
      <c r="C340" s="25"/>
      <c r="D340" s="25"/>
      <c r="E340" s="25"/>
      <c r="F340" s="25"/>
      <c r="G340" s="25"/>
      <c r="H340" s="25"/>
      <c r="I340" s="52">
        <f>J336+J337+J338</f>
        <v>553765.86</v>
      </c>
      <c r="J340" s="52"/>
      <c r="K340" s="26">
        <f>IF(Source!I155&lt;&gt;0, ROUND(I340/Source!I155, 2), 0)</f>
        <v>1769.22</v>
      </c>
      <c r="P340" s="23">
        <f>I340</f>
        <v>553765.86</v>
      </c>
    </row>
    <row r="341" spans="1:22" ht="28" x14ac:dyDescent="0.35">
      <c r="A341" s="18">
        <v>40</v>
      </c>
      <c r="B341" s="18" t="str">
        <f>Source!F156</f>
        <v>5.4-3405-7-1/1</v>
      </c>
      <c r="C341" s="18" t="str">
        <f>Source!G156</f>
        <v>Полив зеленых насаждений из шланга поливомоечной машины (40 л на 1 м2)</v>
      </c>
      <c r="D341" s="19" t="str">
        <f>Source!H156</f>
        <v>м3</v>
      </c>
      <c r="E341" s="8">
        <f>Source!I156</f>
        <v>28.17</v>
      </c>
      <c r="F341" s="21"/>
      <c r="G341" s="20"/>
      <c r="H341" s="8"/>
      <c r="I341" s="8"/>
      <c r="J341" s="21"/>
      <c r="K341" s="21"/>
      <c r="Q341">
        <f>ROUND((Source!BZ156/100)*ROUND((Source!AF156*Source!AV156)*Source!I156, 2), 2)</f>
        <v>100703.36</v>
      </c>
      <c r="R341">
        <f>Source!X156</f>
        <v>100703.36</v>
      </c>
      <c r="S341">
        <f>ROUND((Source!CA156/100)*ROUND((Source!AF156*Source!AV156)*Source!I156, 2), 2)</f>
        <v>14386.19</v>
      </c>
      <c r="T341">
        <f>Source!Y156</f>
        <v>14386.19</v>
      </c>
      <c r="U341">
        <f>ROUND((175/100)*ROUND((Source!AE156*Source!AV156)*Source!I156, 2), 2)</f>
        <v>428537.25</v>
      </c>
      <c r="V341">
        <f>ROUND((108/100)*ROUND(Source!CS156*Source!I156, 2), 2)</f>
        <v>264468.7</v>
      </c>
    </row>
    <row r="342" spans="1:22" ht="14.5" x14ac:dyDescent="0.35">
      <c r="A342" s="18"/>
      <c r="B342" s="18"/>
      <c r="C342" s="18" t="s">
        <v>373</v>
      </c>
      <c r="D342" s="19"/>
      <c r="E342" s="8"/>
      <c r="F342" s="21">
        <f>Source!AO156</f>
        <v>182.39</v>
      </c>
      <c r="G342" s="20" t="str">
        <f>Source!DG156</f>
        <v>)*28</v>
      </c>
      <c r="H342" s="8">
        <f>Source!AV156</f>
        <v>1</v>
      </c>
      <c r="I342" s="8">
        <f>IF(Source!BA156&lt;&gt; 0, Source!BA156, 1)</f>
        <v>1</v>
      </c>
      <c r="J342" s="21">
        <f>Source!S156</f>
        <v>143861.94</v>
      </c>
      <c r="K342" s="21"/>
    </row>
    <row r="343" spans="1:22" ht="14.5" x14ac:dyDescent="0.35">
      <c r="A343" s="18"/>
      <c r="B343" s="18"/>
      <c r="C343" s="18" t="s">
        <v>369</v>
      </c>
      <c r="D343" s="19"/>
      <c r="E343" s="8"/>
      <c r="F343" s="21">
        <f>Source!AM156</f>
        <v>899.27</v>
      </c>
      <c r="G343" s="20" t="str">
        <f>Source!DE156</f>
        <v>)*28</v>
      </c>
      <c r="H343" s="8">
        <f>Source!AV156</f>
        <v>1</v>
      </c>
      <c r="I343" s="8">
        <f>IF(Source!BB156&lt;&gt; 0, Source!BB156, 1)</f>
        <v>1</v>
      </c>
      <c r="J343" s="21">
        <f>Source!Q156</f>
        <v>709308.21</v>
      </c>
      <c r="K343" s="21"/>
    </row>
    <row r="344" spans="1:22" ht="14.5" x14ac:dyDescent="0.35">
      <c r="A344" s="18"/>
      <c r="B344" s="18"/>
      <c r="C344" s="18" t="s">
        <v>370</v>
      </c>
      <c r="D344" s="19"/>
      <c r="E344" s="8"/>
      <c r="F344" s="21">
        <f>Source!AN156</f>
        <v>310.45999999999998</v>
      </c>
      <c r="G344" s="20" t="str">
        <f>Source!DF156</f>
        <v>)*28</v>
      </c>
      <c r="H344" s="8">
        <f>Source!AV156</f>
        <v>1</v>
      </c>
      <c r="I344" s="8">
        <f>IF(Source!BS156&lt;&gt; 0, Source!BS156, 1)</f>
        <v>1</v>
      </c>
      <c r="J344" s="22">
        <f>Source!R156</f>
        <v>244878.43</v>
      </c>
      <c r="K344" s="21"/>
    </row>
    <row r="345" spans="1:22" ht="14.5" x14ac:dyDescent="0.35">
      <c r="A345" s="18"/>
      <c r="B345" s="18"/>
      <c r="C345" s="18" t="s">
        <v>378</v>
      </c>
      <c r="D345" s="19"/>
      <c r="E345" s="8"/>
      <c r="F345" s="21">
        <f>Source!AL156</f>
        <v>54.81</v>
      </c>
      <c r="G345" s="20" t="str">
        <f>Source!DD156</f>
        <v>)*28</v>
      </c>
      <c r="H345" s="8">
        <f>Source!AW156</f>
        <v>1</v>
      </c>
      <c r="I345" s="8">
        <f>IF(Source!BC156&lt;&gt; 0, Source!BC156, 1)</f>
        <v>1</v>
      </c>
      <c r="J345" s="21">
        <f>Source!P156</f>
        <v>43231.94</v>
      </c>
      <c r="K345" s="21"/>
    </row>
    <row r="346" spans="1:22" ht="14.5" x14ac:dyDescent="0.35">
      <c r="A346" s="18" t="s">
        <v>272</v>
      </c>
      <c r="B346" s="18" t="str">
        <f>Source!F157</f>
        <v>21.1-25-13</v>
      </c>
      <c r="C346" s="18" t="str">
        <f>Source!G157</f>
        <v>Вода</v>
      </c>
      <c r="D346" s="19" t="str">
        <f>Source!H157</f>
        <v>м3</v>
      </c>
      <c r="E346" s="8">
        <f>Source!I157</f>
        <v>-788.76</v>
      </c>
      <c r="F346" s="21">
        <f>Source!AK157</f>
        <v>54.81</v>
      </c>
      <c r="G346" s="27" t="s">
        <v>383</v>
      </c>
      <c r="H346" s="8">
        <f>Source!AW157</f>
        <v>1</v>
      </c>
      <c r="I346" s="8">
        <f>IF(Source!BC157&lt;&gt; 0, Source!BC157, 1)</f>
        <v>1</v>
      </c>
      <c r="J346" s="21">
        <f>Source!O157</f>
        <v>-43231.94</v>
      </c>
      <c r="K346" s="21"/>
      <c r="Q346">
        <f>ROUND((Source!BZ157/100)*ROUND((Source!AF157*Source!AV157)*Source!I157, 2), 2)</f>
        <v>0</v>
      </c>
      <c r="R346">
        <f>Source!X157</f>
        <v>0</v>
      </c>
      <c r="S346">
        <f>ROUND((Source!CA157/100)*ROUND((Source!AF157*Source!AV157)*Source!I157, 2), 2)</f>
        <v>0</v>
      </c>
      <c r="T346">
        <f>Source!Y157</f>
        <v>0</v>
      </c>
      <c r="U346">
        <f>ROUND((175/100)*ROUND((Source!AE157*Source!AV157)*Source!I157, 2), 2)</f>
        <v>0</v>
      </c>
      <c r="V346">
        <f>ROUND((108/100)*ROUND(Source!CS157*Source!I157, 2), 2)</f>
        <v>0</v>
      </c>
    </row>
    <row r="347" spans="1:22" ht="14.5" x14ac:dyDescent="0.35">
      <c r="A347" s="18"/>
      <c r="B347" s="18"/>
      <c r="C347" s="18" t="s">
        <v>374</v>
      </c>
      <c r="D347" s="19" t="s">
        <v>372</v>
      </c>
      <c r="E347" s="8">
        <f>Source!AT156</f>
        <v>70</v>
      </c>
      <c r="F347" s="21"/>
      <c r="G347" s="20"/>
      <c r="H347" s="8"/>
      <c r="I347" s="8"/>
      <c r="J347" s="21">
        <f>SUM(R341:R346)</f>
        <v>100703.36</v>
      </c>
      <c r="K347" s="21"/>
    </row>
    <row r="348" spans="1:22" ht="14.5" x14ac:dyDescent="0.35">
      <c r="A348" s="18"/>
      <c r="B348" s="18"/>
      <c r="C348" s="18" t="s">
        <v>375</v>
      </c>
      <c r="D348" s="19" t="s">
        <v>372</v>
      </c>
      <c r="E348" s="8">
        <f>Source!AU156</f>
        <v>10</v>
      </c>
      <c r="F348" s="21"/>
      <c r="G348" s="20"/>
      <c r="H348" s="8"/>
      <c r="I348" s="8"/>
      <c r="J348" s="21">
        <f>SUM(T341:T347)</f>
        <v>14386.19</v>
      </c>
      <c r="K348" s="21"/>
    </row>
    <row r="349" spans="1:22" ht="14.5" x14ac:dyDescent="0.35">
      <c r="A349" s="18"/>
      <c r="B349" s="18"/>
      <c r="C349" s="18" t="s">
        <v>371</v>
      </c>
      <c r="D349" s="19" t="s">
        <v>372</v>
      </c>
      <c r="E349" s="8">
        <f>108</f>
        <v>108</v>
      </c>
      <c r="F349" s="21"/>
      <c r="G349" s="20"/>
      <c r="H349" s="8"/>
      <c r="I349" s="8"/>
      <c r="J349" s="21">
        <f>SUM(V341:V348)</f>
        <v>264468.7</v>
      </c>
      <c r="K349" s="21"/>
    </row>
    <row r="350" spans="1:22" ht="14.5" x14ac:dyDescent="0.35">
      <c r="A350" s="18"/>
      <c r="B350" s="18"/>
      <c r="C350" s="18" t="s">
        <v>376</v>
      </c>
      <c r="D350" s="19" t="s">
        <v>377</v>
      </c>
      <c r="E350" s="8">
        <f>Source!AQ156</f>
        <v>0.56000000000000005</v>
      </c>
      <c r="F350" s="21"/>
      <c r="G350" s="20" t="str">
        <f>Source!DI156</f>
        <v>)*28</v>
      </c>
      <c r="H350" s="8">
        <f>Source!AV156</f>
        <v>1</v>
      </c>
      <c r="I350" s="8"/>
      <c r="J350" s="21"/>
      <c r="K350" s="21">
        <f>Source!U156</f>
        <v>441.70560000000006</v>
      </c>
    </row>
    <row r="351" spans="1:22" ht="14" x14ac:dyDescent="0.3">
      <c r="A351" s="25"/>
      <c r="B351" s="25"/>
      <c r="C351" s="25"/>
      <c r="D351" s="25"/>
      <c r="E351" s="25"/>
      <c r="F351" s="25"/>
      <c r="G351" s="25"/>
      <c r="H351" s="25"/>
      <c r="I351" s="52">
        <f>J342+J343+J345+J347+J348+J349+SUM(J346:J346)</f>
        <v>1232728.3999999999</v>
      </c>
      <c r="J351" s="52"/>
      <c r="K351" s="26">
        <f>IF(Source!I156&lt;&gt;0, ROUND(I351/Source!I156, 2), 0)</f>
        <v>43760.33</v>
      </c>
      <c r="P351" s="23">
        <f>I351</f>
        <v>1232728.3999999999</v>
      </c>
    </row>
    <row r="353" spans="1:11" ht="14" x14ac:dyDescent="0.3">
      <c r="A353" s="55" t="str">
        <f>CONCATENATE("Итого по подразделу: ",IF(Source!G159&lt;&gt;"Новый подраздел", Source!G159, ""))</f>
        <v>Итого по подразделу: Подраздел: УХОД ЗА ЗЕЛЕНЫМИ НАСАЖДЕНИЯМИ</v>
      </c>
      <c r="B353" s="55"/>
      <c r="C353" s="55"/>
      <c r="D353" s="55"/>
      <c r="E353" s="55"/>
      <c r="F353" s="55"/>
      <c r="G353" s="55"/>
      <c r="H353" s="55"/>
      <c r="I353" s="53">
        <f>SUM(P227:P352)</f>
        <v>44929350.710000001</v>
      </c>
      <c r="J353" s="54"/>
      <c r="K353" s="28"/>
    </row>
    <row r="356" spans="1:11" ht="14" x14ac:dyDescent="0.3">
      <c r="A356" s="55" t="str">
        <f>CONCATENATE("Итого по разделу: ",IF(Source!G189&lt;&gt;"Новый раздел", Source!G189, ""))</f>
        <v>Итого по разделу: Раздел: Основная зона</v>
      </c>
      <c r="B356" s="55"/>
      <c r="C356" s="55"/>
      <c r="D356" s="55"/>
      <c r="E356" s="55"/>
      <c r="F356" s="55"/>
      <c r="G356" s="55"/>
      <c r="H356" s="55"/>
      <c r="I356" s="53">
        <f>SUM(P35:P355)</f>
        <v>177415188.35000002</v>
      </c>
      <c r="J356" s="54"/>
      <c r="K356" s="28"/>
    </row>
    <row r="359" spans="1:11" ht="14" x14ac:dyDescent="0.3">
      <c r="A359" s="55" t="str">
        <f>CONCATENATE("Итого по локальной смете: ",IF(Source!G219&lt;&gt;"Новая локальная смета", Source!G219, ""))</f>
        <v>Итого по локальной смете: Локальная смета: Зона №1</v>
      </c>
      <c r="B359" s="55"/>
      <c r="C359" s="55"/>
      <c r="D359" s="55"/>
      <c r="E359" s="55"/>
      <c r="F359" s="55"/>
      <c r="G359" s="55"/>
      <c r="H359" s="55"/>
      <c r="I359" s="53">
        <f>SUM(P33:P358)</f>
        <v>177415188.35000002</v>
      </c>
      <c r="J359" s="54"/>
      <c r="K359" s="28"/>
    </row>
    <row r="361" spans="1:11" ht="14" x14ac:dyDescent="0.3">
      <c r="C361" s="38" t="str">
        <f>Source!H248</f>
        <v>НДС 22%</v>
      </c>
      <c r="D361" s="38"/>
      <c r="E361" s="38"/>
      <c r="F361" s="38"/>
      <c r="G361" s="38"/>
      <c r="H361" s="38"/>
      <c r="I361" s="46">
        <f>IF(Source!F248=0, "", Source!F248)</f>
        <v>39031341.439999998</v>
      </c>
      <c r="J361" s="46"/>
    </row>
    <row r="362" spans="1:11" ht="14" x14ac:dyDescent="0.3">
      <c r="C362" s="38" t="str">
        <f>Source!H249</f>
        <v>Итого с НДС</v>
      </c>
      <c r="D362" s="38"/>
      <c r="E362" s="38"/>
      <c r="F362" s="38"/>
      <c r="G362" s="38"/>
      <c r="H362" s="38"/>
      <c r="I362" s="46">
        <f>IF(Source!F249=0, "", Source!F249)</f>
        <v>212898226.02000001</v>
      </c>
      <c r="J362" s="46"/>
    </row>
    <row r="364" spans="1:11" ht="14" x14ac:dyDescent="0.3">
      <c r="A364" s="55" t="str">
        <f>CONCATENATE("Итого по смете: ",IF(Source!G251&lt;&gt;"Новый объект", Source!G251, ""))</f>
        <v>Итого по смете: Зона 1</v>
      </c>
      <c r="B364" s="55"/>
      <c r="C364" s="55"/>
      <c r="D364" s="55"/>
      <c r="E364" s="55"/>
      <c r="F364" s="55"/>
      <c r="G364" s="55"/>
      <c r="H364" s="55"/>
      <c r="I364" s="53">
        <f>SUM(P1:P363)</f>
        <v>177415188.35000002</v>
      </c>
      <c r="J364" s="54"/>
      <c r="K364" s="28"/>
    </row>
    <row r="365" spans="1:11" ht="14" x14ac:dyDescent="0.3">
      <c r="C365" s="38" t="str">
        <f>Source!H280</f>
        <v>Итого</v>
      </c>
      <c r="D365" s="38"/>
      <c r="E365" s="38"/>
      <c r="F365" s="38"/>
      <c r="G365" s="38"/>
      <c r="H365" s="38"/>
      <c r="I365" s="46">
        <f>IF(Source!F280=0, "", Source!F280)</f>
        <v>177415188.34999999</v>
      </c>
      <c r="J365" s="46"/>
    </row>
    <row r="366" spans="1:11" ht="14" x14ac:dyDescent="0.3">
      <c r="C366" s="38" t="str">
        <f>Source!H281</f>
        <v>НДС 22%</v>
      </c>
      <c r="D366" s="38"/>
      <c r="E366" s="38"/>
      <c r="F366" s="38"/>
      <c r="G366" s="38"/>
      <c r="H366" s="38"/>
      <c r="I366" s="46">
        <f>IF(Source!F281=0, "", Source!F281)</f>
        <v>39031341.439999998</v>
      </c>
      <c r="J366" s="46"/>
    </row>
    <row r="367" spans="1:11" ht="14" x14ac:dyDescent="0.3">
      <c r="C367" s="38" t="str">
        <f>Source!H282</f>
        <v>Всего</v>
      </c>
      <c r="D367" s="38"/>
      <c r="E367" s="38"/>
      <c r="F367" s="38"/>
      <c r="G367" s="38"/>
      <c r="H367" s="38"/>
      <c r="I367" s="46">
        <f>IF(Source!F282=0, "", Source!F282)</f>
        <v>216446529.78999999</v>
      </c>
      <c r="J367" s="46"/>
    </row>
    <row r="370" spans="1:11" ht="14" x14ac:dyDescent="0.3">
      <c r="A370" s="56" t="s">
        <v>387</v>
      </c>
      <c r="B370" s="56"/>
      <c r="C370" s="31" t="str">
        <f>IF(Source!AC12&lt;&gt;"", Source!AC12," ")</f>
        <v xml:space="preserve"> </v>
      </c>
      <c r="D370" s="31"/>
      <c r="E370" s="31"/>
      <c r="F370" s="31"/>
      <c r="G370" s="31"/>
      <c r="H370" s="9" t="str">
        <f>IF(Source!AB12&lt;&gt;"", Source!AB12," ")</f>
        <v xml:space="preserve"> </v>
      </c>
      <c r="I370" s="9"/>
      <c r="J370" s="9"/>
      <c r="K370" s="9"/>
    </row>
    <row r="371" spans="1:11" ht="14" x14ac:dyDescent="0.3">
      <c r="A371" s="9"/>
      <c r="B371" s="9"/>
      <c r="C371" s="41" t="s">
        <v>388</v>
      </c>
      <c r="D371" s="41"/>
      <c r="E371" s="41"/>
      <c r="F371" s="41"/>
      <c r="G371" s="41"/>
      <c r="H371" s="9"/>
      <c r="I371" s="9"/>
      <c r="J371" s="9"/>
      <c r="K371" s="9"/>
    </row>
    <row r="372" spans="1:11" ht="14" x14ac:dyDescent="0.3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</row>
    <row r="373" spans="1:11" ht="14" x14ac:dyDescent="0.3">
      <c r="A373" s="56" t="s">
        <v>389</v>
      </c>
      <c r="B373" s="56"/>
      <c r="C373" s="31" t="str">
        <f>IF(Source!AE12&lt;&gt;"", Source!AE12," ")</f>
        <v xml:space="preserve"> </v>
      </c>
      <c r="D373" s="31"/>
      <c r="E373" s="31"/>
      <c r="F373" s="31"/>
      <c r="G373" s="31"/>
      <c r="H373" s="9" t="str">
        <f>IF(Source!AD12&lt;&gt;"", Source!AD12," ")</f>
        <v xml:space="preserve"> </v>
      </c>
      <c r="I373" s="9"/>
      <c r="J373" s="9"/>
      <c r="K373" s="9"/>
    </row>
    <row r="374" spans="1:11" ht="14" x14ac:dyDescent="0.3">
      <c r="A374" s="9"/>
      <c r="B374" s="9"/>
      <c r="C374" s="41" t="s">
        <v>388</v>
      </c>
      <c r="D374" s="41"/>
      <c r="E374" s="41"/>
      <c r="F374" s="41"/>
      <c r="G374" s="41"/>
      <c r="H374" s="9"/>
      <c r="I374" s="9"/>
      <c r="J374" s="9"/>
      <c r="K374" s="9"/>
    </row>
  </sheetData>
  <mergeCells count="109">
    <mergeCell ref="A373:B373"/>
    <mergeCell ref="C374:G374"/>
    <mergeCell ref="C366:H366"/>
    <mergeCell ref="I366:J366"/>
    <mergeCell ref="C367:H367"/>
    <mergeCell ref="I367:J367"/>
    <mergeCell ref="A370:B370"/>
    <mergeCell ref="C371:G371"/>
    <mergeCell ref="C362:H362"/>
    <mergeCell ref="I362:J362"/>
    <mergeCell ref="I364:J364"/>
    <mergeCell ref="A364:H364"/>
    <mergeCell ref="C365:H365"/>
    <mergeCell ref="I365:J365"/>
    <mergeCell ref="A353:H353"/>
    <mergeCell ref="I356:J356"/>
    <mergeCell ref="A356:H356"/>
    <mergeCell ref="I359:J359"/>
    <mergeCell ref="A359:H359"/>
    <mergeCell ref="C361:H361"/>
    <mergeCell ref="I361:J361"/>
    <mergeCell ref="I315:J315"/>
    <mergeCell ref="I322:J322"/>
    <mergeCell ref="I334:J334"/>
    <mergeCell ref="I340:J340"/>
    <mergeCell ref="I351:J351"/>
    <mergeCell ref="I353:J353"/>
    <mergeCell ref="I261:J261"/>
    <mergeCell ref="I270:J270"/>
    <mergeCell ref="I281:J281"/>
    <mergeCell ref="I289:J289"/>
    <mergeCell ref="I297:J297"/>
    <mergeCell ref="I308:J308"/>
    <mergeCell ref="I224:J224"/>
    <mergeCell ref="A224:H224"/>
    <mergeCell ref="A227:K227"/>
    <mergeCell ref="I237:J237"/>
    <mergeCell ref="I244:J244"/>
    <mergeCell ref="I254:J254"/>
    <mergeCell ref="I181:J181"/>
    <mergeCell ref="I189:J189"/>
    <mergeCell ref="I197:J197"/>
    <mergeCell ref="I206:J206"/>
    <mergeCell ref="I212:J212"/>
    <mergeCell ref="I222:J222"/>
    <mergeCell ref="I151:J151"/>
    <mergeCell ref="A151:H151"/>
    <mergeCell ref="A154:K154"/>
    <mergeCell ref="I161:J161"/>
    <mergeCell ref="I167:J167"/>
    <mergeCell ref="I174:J174"/>
    <mergeCell ref="I116:J116"/>
    <mergeCell ref="I122:J122"/>
    <mergeCell ref="I129:J129"/>
    <mergeCell ref="I137:J137"/>
    <mergeCell ref="I143:J143"/>
    <mergeCell ref="I149:J149"/>
    <mergeCell ref="I73:J73"/>
    <mergeCell ref="I79:J79"/>
    <mergeCell ref="I86:J86"/>
    <mergeCell ref="I96:J96"/>
    <mergeCell ref="I102:J102"/>
    <mergeCell ref="I111:J111"/>
    <mergeCell ref="A37:K37"/>
    <mergeCell ref="I42:J42"/>
    <mergeCell ref="I48:J48"/>
    <mergeCell ref="I55:J55"/>
    <mergeCell ref="I61:J61"/>
    <mergeCell ref="I67:J67"/>
    <mergeCell ref="G28:G30"/>
    <mergeCell ref="H28:H30"/>
    <mergeCell ref="I28:I30"/>
    <mergeCell ref="J28:J30"/>
    <mergeCell ref="A33:K33"/>
    <mergeCell ref="A35:K35"/>
    <mergeCell ref="F25:H25"/>
    <mergeCell ref="I25:J25"/>
    <mergeCell ref="F26:H26"/>
    <mergeCell ref="I26:J26"/>
    <mergeCell ref="A28:A30"/>
    <mergeCell ref="B28:B30"/>
    <mergeCell ref="C28:C30"/>
    <mergeCell ref="D28:D30"/>
    <mergeCell ref="E28:E30"/>
    <mergeCell ref="F28:F30"/>
    <mergeCell ref="F22:H22"/>
    <mergeCell ref="I22:J22"/>
    <mergeCell ref="F23:H23"/>
    <mergeCell ref="I23:J23"/>
    <mergeCell ref="F24:H24"/>
    <mergeCell ref="I24:J24"/>
    <mergeCell ref="A14:K14"/>
    <mergeCell ref="A16:K16"/>
    <mergeCell ref="A17:K17"/>
    <mergeCell ref="A19:K19"/>
    <mergeCell ref="F21:H21"/>
    <mergeCell ref="I21:J21"/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</mergeCells>
  <pageMargins left="0.4" right="0.2" top="0.2" bottom="0.4" header="0.2" footer="0.2"/>
  <pageSetup paperSize="9" scale="61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962D1-2441-4CD5-9DDB-36E0C556990A}">
  <sheetPr>
    <pageSetUpPr fitToPage="1"/>
  </sheetPr>
  <dimension ref="A1:F77"/>
  <sheetViews>
    <sheetView zoomScaleNormal="100" workbookViewId="0"/>
  </sheetViews>
  <sheetFormatPr defaultRowHeight="12.5" x14ac:dyDescent="0.25"/>
  <cols>
    <col min="1" max="2" width="6.6328125" customWidth="1"/>
    <col min="3" max="3" width="75.6328125" customWidth="1"/>
    <col min="4" max="6" width="15.6328125" customWidth="1"/>
    <col min="30" max="32" width="0" hidden="1" customWidth="1"/>
  </cols>
  <sheetData>
    <row r="1" spans="1:6" x14ac:dyDescent="0.25">
      <c r="A1" s="7" t="str">
        <f>Source!B1</f>
        <v>Smeta.RU Flash  (495) 974-1589</v>
      </c>
    </row>
    <row r="2" spans="1:6" ht="14" x14ac:dyDescent="0.3">
      <c r="D2" s="9"/>
      <c r="E2" s="9"/>
    </row>
    <row r="3" spans="1:6" ht="14" x14ac:dyDescent="0.3">
      <c r="D3" s="9"/>
      <c r="E3" s="24" t="s">
        <v>342</v>
      </c>
    </row>
    <row r="4" spans="1:6" ht="14" x14ac:dyDescent="0.3">
      <c r="D4" s="24"/>
      <c r="E4" s="24"/>
    </row>
    <row r="5" spans="1:6" ht="14" x14ac:dyDescent="0.3">
      <c r="D5" s="54" t="s">
        <v>390</v>
      </c>
      <c r="E5" s="54"/>
    </row>
    <row r="6" spans="1:6" ht="14" x14ac:dyDescent="0.3">
      <c r="D6" s="24"/>
      <c r="E6" s="24"/>
    </row>
    <row r="7" spans="1:6" ht="14" x14ac:dyDescent="0.3">
      <c r="D7" s="54" t="s">
        <v>390</v>
      </c>
      <c r="E7" s="54"/>
    </row>
    <row r="8" spans="1:6" ht="14" x14ac:dyDescent="0.3">
      <c r="D8" s="24"/>
      <c r="E8" s="24"/>
    </row>
    <row r="9" spans="1:6" ht="14" x14ac:dyDescent="0.3">
      <c r="D9" s="24" t="s">
        <v>391</v>
      </c>
      <c r="E9" s="9"/>
    </row>
    <row r="10" spans="1:6" ht="14" x14ac:dyDescent="0.3">
      <c r="D10" s="9"/>
      <c r="E10" s="9"/>
    </row>
    <row r="12" spans="1:6" ht="15.5" x14ac:dyDescent="0.25">
      <c r="B12" s="58" t="str">
        <f>CONCATENATE("Ведомость объемов работ ", IF(Source!AN15&lt;&gt;"", Source!AN15," "))</f>
        <v xml:space="preserve">Ведомость объемов работ  </v>
      </c>
      <c r="C12" s="58"/>
      <c r="D12" s="58"/>
      <c r="E12" s="58"/>
    </row>
    <row r="13" spans="1:6" ht="14" x14ac:dyDescent="0.25">
      <c r="B13" s="59" t="str">
        <f>Source!G12</f>
        <v>Зона 1</v>
      </c>
      <c r="C13" s="59"/>
      <c r="D13" s="59"/>
      <c r="E13" s="59"/>
    </row>
    <row r="14" spans="1:6" ht="14" x14ac:dyDescent="0.25">
      <c r="B14" s="59" t="str">
        <f>Source!G20</f>
        <v>Локальная смета: Зона №1</v>
      </c>
      <c r="C14" s="59"/>
      <c r="D14" s="59"/>
      <c r="E14" s="59"/>
    </row>
    <row r="16" spans="1:6" ht="28" x14ac:dyDescent="0.25">
      <c r="A16" s="32" t="s">
        <v>392</v>
      </c>
      <c r="B16" s="32" t="s">
        <v>393</v>
      </c>
      <c r="C16" s="32" t="s">
        <v>357</v>
      </c>
      <c r="D16" s="32" t="s">
        <v>358</v>
      </c>
      <c r="E16" s="32" t="s">
        <v>394</v>
      </c>
      <c r="F16" s="32" t="s">
        <v>395</v>
      </c>
    </row>
    <row r="17" spans="1:6" ht="14" x14ac:dyDescent="0.25">
      <c r="A17" s="32">
        <v>1</v>
      </c>
      <c r="B17" s="32">
        <v>2</v>
      </c>
      <c r="C17" s="32">
        <v>3</v>
      </c>
      <c r="D17" s="32">
        <v>4</v>
      </c>
      <c r="E17" s="32">
        <v>5</v>
      </c>
      <c r="F17" s="32">
        <v>6</v>
      </c>
    </row>
    <row r="18" spans="1:6" ht="16.5" x14ac:dyDescent="0.35">
      <c r="A18" s="57" t="str">
        <f>CONCATENATE("Раздел: ", Source!G24)</f>
        <v>Раздел: Раздел: Основная зона</v>
      </c>
      <c r="B18" s="57"/>
      <c r="C18" s="57"/>
      <c r="D18" s="57"/>
      <c r="E18" s="57"/>
      <c r="F18" s="57"/>
    </row>
    <row r="19" spans="1:6" ht="16.5" x14ac:dyDescent="0.35">
      <c r="A19" s="57" t="str">
        <f>CONCATENATE("Подраздел: ", Source!G28)</f>
        <v xml:space="preserve">Подраздел: Подраздел: ЗИМНЯЯ УБОРКА </v>
      </c>
      <c r="B19" s="57"/>
      <c r="C19" s="57"/>
      <c r="D19" s="57"/>
      <c r="E19" s="57"/>
      <c r="F19" s="57"/>
    </row>
    <row r="20" spans="1:6" ht="14" x14ac:dyDescent="0.25">
      <c r="A20" s="32">
        <v>1</v>
      </c>
      <c r="B20" s="32" t="str">
        <f>Source!E32</f>
        <v>1</v>
      </c>
      <c r="C20" s="35" t="str">
        <f>Source!G32</f>
        <v>Уборка снега средствами малой механизации</v>
      </c>
      <c r="D20" s="32" t="s">
        <v>20</v>
      </c>
      <c r="E20" s="36">
        <f>Source!I32</f>
        <v>123.58328</v>
      </c>
      <c r="F20" s="35"/>
    </row>
    <row r="21" spans="1:6" ht="14" x14ac:dyDescent="0.25">
      <c r="A21" s="32">
        <v>2</v>
      </c>
      <c r="B21" s="32" t="str">
        <f>Source!E33</f>
        <v>2</v>
      </c>
      <c r="C21" s="35" t="str">
        <f>Source!G33</f>
        <v>Уборка свежевыпавшего снега вручную толщиной слоя до 10 см</v>
      </c>
      <c r="D21" s="32" t="s">
        <v>29</v>
      </c>
      <c r="E21" s="36">
        <f>Source!I33</f>
        <v>308.95819999999998</v>
      </c>
      <c r="F21" s="35"/>
    </row>
    <row r="22" spans="1:6" ht="28" x14ac:dyDescent="0.25">
      <c r="A22" s="32">
        <v>3</v>
      </c>
      <c r="B22" s="32" t="str">
        <f>Source!E34</f>
        <v>3</v>
      </c>
      <c r="C22" s="35" t="str">
        <f>Source!G34</f>
        <v>Подметание тротуаров, придомовых и внутрибольничных проездов средствами малой механизации</v>
      </c>
      <c r="D22" s="32" t="s">
        <v>20</v>
      </c>
      <c r="E22" s="36">
        <f>Source!I34</f>
        <v>123.58328</v>
      </c>
      <c r="F22" s="35"/>
    </row>
    <row r="23" spans="1:6" ht="14" x14ac:dyDescent="0.25">
      <c r="A23" s="32">
        <v>3.1</v>
      </c>
      <c r="B23" s="32" t="str">
        <f>Source!E35</f>
        <v>3,1</v>
      </c>
      <c r="C23" s="35" t="str">
        <f>Source!G35</f>
        <v>Вода</v>
      </c>
      <c r="D23" s="32" t="s">
        <v>39</v>
      </c>
      <c r="E23" s="36">
        <f>Source!I35</f>
        <v>-2743.548816</v>
      </c>
      <c r="F23" s="35"/>
    </row>
    <row r="24" spans="1:6" ht="14" x14ac:dyDescent="0.25">
      <c r="A24" s="32">
        <v>4</v>
      </c>
      <c r="B24" s="32" t="str">
        <f>Source!E36</f>
        <v>4</v>
      </c>
      <c r="C24" s="35" t="str">
        <f>Source!G36</f>
        <v>Подметание вручную дорожек и площадок с твердым покрытием</v>
      </c>
      <c r="D24" s="32" t="s">
        <v>29</v>
      </c>
      <c r="E24" s="36">
        <f>Source!I36</f>
        <v>308.95819999999998</v>
      </c>
      <c r="F24" s="35"/>
    </row>
    <row r="25" spans="1:6" ht="28" x14ac:dyDescent="0.25">
      <c r="A25" s="32">
        <v>5</v>
      </c>
      <c r="B25" s="32" t="str">
        <f>Source!E37</f>
        <v>5</v>
      </c>
      <c r="C25" s="35" t="str">
        <f>Source!G37</f>
        <v>Подметание вручную дорожек и площадок с грунтовым и щебеночным покрытием</v>
      </c>
      <c r="D25" s="32" t="s">
        <v>29</v>
      </c>
      <c r="E25" s="36">
        <f>Source!I37</f>
        <v>60.811999999999998</v>
      </c>
      <c r="F25" s="35"/>
    </row>
    <row r="26" spans="1:6" ht="28" x14ac:dyDescent="0.25">
      <c r="A26" s="32">
        <v>6</v>
      </c>
      <c r="B26" s="32" t="str">
        <f>Source!E38</f>
        <v>6</v>
      </c>
      <c r="C26" s="35" t="str">
        <f>Source!G38</f>
        <v>Уборка детских и спортивных площадок с резиновым покрытием от снега - свежевыпавшего толщиной до 5 см</v>
      </c>
      <c r="D26" s="32" t="s">
        <v>29</v>
      </c>
      <c r="E26" s="36">
        <f>Source!I38</f>
        <v>6.35</v>
      </c>
      <c r="F26" s="35"/>
    </row>
    <row r="27" spans="1:6" ht="42" x14ac:dyDescent="0.25">
      <c r="A27" s="32">
        <v>7</v>
      </c>
      <c r="B27" s="32" t="str">
        <f>Source!E39</f>
        <v>7</v>
      </c>
      <c r="C27" s="35" t="str">
        <f>Source!G39</f>
        <v>Уборка от снега деревянного настила - амфитеатра, тротуаров, лестниц, экотроп</v>
      </c>
      <c r="D27" s="32" t="s">
        <v>57</v>
      </c>
      <c r="E27" s="36">
        <f>Source!I39</f>
        <v>33.409999999999997</v>
      </c>
      <c r="F27" s="35"/>
    </row>
    <row r="28" spans="1:6" ht="28" x14ac:dyDescent="0.25">
      <c r="A28" s="32">
        <v>8</v>
      </c>
      <c r="B28" s="32" t="str">
        <f>Source!E40</f>
        <v>8</v>
      </c>
      <c r="C28" s="35" t="str">
        <f>Source!G40</f>
        <v>Посыпка противогололедными реагентами ХКНтв дорожных покрытий вручную</v>
      </c>
      <c r="D28" s="32" t="s">
        <v>29</v>
      </c>
      <c r="E28" s="36">
        <f>Source!I40</f>
        <v>308.95819999999998</v>
      </c>
      <c r="F28" s="35"/>
    </row>
    <row r="29" spans="1:6" ht="28" x14ac:dyDescent="0.25">
      <c r="A29" s="32">
        <v>9</v>
      </c>
      <c r="B29" s="32" t="str">
        <f>Source!E41</f>
        <v>9</v>
      </c>
      <c r="C29" s="35" t="str">
        <f>Source!G41</f>
        <v>Посыпка противогололедными реагентами дорожных покрытий средствами малой механизации</v>
      </c>
      <c r="D29" s="32" t="s">
        <v>20</v>
      </c>
      <c r="E29" s="36">
        <f>Source!I41</f>
        <v>123.58328</v>
      </c>
      <c r="F29" s="35"/>
    </row>
    <row r="30" spans="1:6" ht="14" x14ac:dyDescent="0.25">
      <c r="A30" s="32">
        <v>10</v>
      </c>
      <c r="B30" s="32" t="str">
        <f>Source!E42</f>
        <v>10</v>
      </c>
      <c r="C30" s="35" t="str">
        <f>Source!G42</f>
        <v>Колка льда на обледеневших покрытиях вручную</v>
      </c>
      <c r="D30" s="32" t="s">
        <v>29</v>
      </c>
      <c r="E30" s="36">
        <f>Source!I42</f>
        <v>15.447900000000001</v>
      </c>
      <c r="F30" s="35"/>
    </row>
    <row r="31" spans="1:6" ht="42" x14ac:dyDescent="0.25">
      <c r="A31" s="32">
        <v>11</v>
      </c>
      <c r="B31" s="32" t="str">
        <f>Source!E43</f>
        <v>11</v>
      </c>
      <c r="C31" s="35" t="str">
        <f>Source!G43</f>
        <v>Сбор и перемещение снега и скола к месту временного размещения механизированным способом, объем ковша погрузчика до 0,5 м3 - перемещение на 250 м</v>
      </c>
      <c r="D31" s="32" t="s">
        <v>39</v>
      </c>
      <c r="E31" s="36">
        <f>Source!I43</f>
        <v>27806.240000000002</v>
      </c>
      <c r="F31" s="35"/>
    </row>
    <row r="32" spans="1:6" ht="14" x14ac:dyDescent="0.25">
      <c r="A32" s="32">
        <v>12</v>
      </c>
      <c r="B32" s="32" t="str">
        <f>Source!E44</f>
        <v>12</v>
      </c>
      <c r="C32" s="35" t="str">
        <f>Source!G44</f>
        <v>Погрузка снега средствами малой механизации</v>
      </c>
      <c r="D32" s="32" t="s">
        <v>39</v>
      </c>
      <c r="E32" s="36">
        <f>Source!I44</f>
        <v>27806.240000000002</v>
      </c>
      <c r="F32" s="35"/>
    </row>
    <row r="33" spans="1:6" ht="28" x14ac:dyDescent="0.25">
      <c r="A33" s="32">
        <v>13</v>
      </c>
      <c r="B33" s="32" t="str">
        <f>Source!E45</f>
        <v>13</v>
      </c>
      <c r="C33" s="35" t="str">
        <f>Source!G45</f>
        <v>Очистка скамеек, садовых диванов, урн, цветочниц, боллардов от снега вручную</v>
      </c>
      <c r="D33" s="32" t="s">
        <v>29</v>
      </c>
      <c r="E33" s="36">
        <f>Source!I45</f>
        <v>1.5824</v>
      </c>
      <c r="F33" s="35"/>
    </row>
    <row r="34" spans="1:6" ht="28" x14ac:dyDescent="0.25">
      <c r="A34" s="32">
        <v>14</v>
      </c>
      <c r="B34" s="32" t="str">
        <f>Source!E46</f>
        <v>14</v>
      </c>
      <c r="C34" s="35" t="str">
        <f>Source!G46</f>
        <v>Уход за урнами на придомовых и внутрибольничных территориях, очистка урн опрокидывающихся от мусора</v>
      </c>
      <c r="D34" s="32" t="s">
        <v>88</v>
      </c>
      <c r="E34" s="36">
        <f>Source!I46</f>
        <v>1.27</v>
      </c>
      <c r="F34" s="35"/>
    </row>
    <row r="35" spans="1:6" ht="28" x14ac:dyDescent="0.25">
      <c r="A35" s="32">
        <v>15</v>
      </c>
      <c r="B35" s="32" t="str">
        <f>Source!E47</f>
        <v>15</v>
      </c>
      <c r="C35" s="35" t="str">
        <f>Source!G47</f>
        <v>Уход за урнами на придомовых и внутрибольничных территориях, промывка урн опрокидывающихся</v>
      </c>
      <c r="D35" s="32" t="s">
        <v>88</v>
      </c>
      <c r="E35" s="36">
        <f>Source!I47</f>
        <v>1.27</v>
      </c>
      <c r="F35" s="35"/>
    </row>
    <row r="36" spans="1:6" ht="14" x14ac:dyDescent="0.25">
      <c r="A36" s="32">
        <v>15.1</v>
      </c>
      <c r="B36" s="32" t="str">
        <f>Source!E48</f>
        <v>15,1</v>
      </c>
      <c r="C36" s="35" t="str">
        <f>Source!G48</f>
        <v>Вода</v>
      </c>
      <c r="D36" s="32" t="s">
        <v>39</v>
      </c>
      <c r="E36" s="36">
        <f>Source!I48</f>
        <v>-9.5250000000000004</v>
      </c>
      <c r="F36" s="35"/>
    </row>
    <row r="37" spans="1:6" ht="14" x14ac:dyDescent="0.25">
      <c r="A37" s="32">
        <v>16</v>
      </c>
      <c r="B37" s="32" t="str">
        <f>Source!E49</f>
        <v>16</v>
      </c>
      <c r="C37" s="35" t="str">
        <f>Source!G49</f>
        <v>Рыхление смерзшегося снега по краю газона</v>
      </c>
      <c r="D37" s="32" t="s">
        <v>39</v>
      </c>
      <c r="E37" s="36">
        <f>Source!I49</f>
        <v>3713.46</v>
      </c>
      <c r="F37" s="35"/>
    </row>
    <row r="38" spans="1:6" ht="14" x14ac:dyDescent="0.25">
      <c r="A38" s="32">
        <v>17</v>
      </c>
      <c r="B38" s="32" t="str">
        <f>Source!E50</f>
        <v>17</v>
      </c>
      <c r="C38" s="35" t="str">
        <f>Source!G50</f>
        <v>Очистка от снега и мусора контейнерной площадки вручную</v>
      </c>
      <c r="D38" s="32" t="s">
        <v>29</v>
      </c>
      <c r="E38" s="36">
        <f>Source!I50</f>
        <v>0.46800000000000003</v>
      </c>
      <c r="F38" s="35"/>
    </row>
    <row r="39" spans="1:6" ht="16.5" x14ac:dyDescent="0.35">
      <c r="A39" s="57" t="str">
        <f>CONCATENATE("Подраздел: ", Source!G82)</f>
        <v xml:space="preserve">Подраздел: Подраздел: ЛЕТНЯЯ УБОРКА </v>
      </c>
      <c r="B39" s="57"/>
      <c r="C39" s="57"/>
      <c r="D39" s="57"/>
      <c r="E39" s="57"/>
      <c r="F39" s="57"/>
    </row>
    <row r="40" spans="1:6" ht="28" x14ac:dyDescent="0.25">
      <c r="A40" s="32">
        <v>18</v>
      </c>
      <c r="B40" s="32" t="str">
        <f>Source!E86</f>
        <v>18</v>
      </c>
      <c r="C40" s="35" t="str">
        <f>Source!G86</f>
        <v>Подметание тротуаров, придомовых и внутрибольничных проездов средствами малой механизации</v>
      </c>
      <c r="D40" s="32" t="s">
        <v>20</v>
      </c>
      <c r="E40" s="36">
        <f>Source!I86</f>
        <v>123.58328</v>
      </c>
      <c r="F40" s="35"/>
    </row>
    <row r="41" spans="1:6" ht="14" x14ac:dyDescent="0.25">
      <c r="A41" s="32">
        <v>18.100000000000001</v>
      </c>
      <c r="B41" s="32" t="str">
        <f>Source!E87</f>
        <v>18,1</v>
      </c>
      <c r="C41" s="35" t="str">
        <f>Source!G87</f>
        <v>Вода</v>
      </c>
      <c r="D41" s="32" t="s">
        <v>39</v>
      </c>
      <c r="E41" s="36">
        <f>Source!I87</f>
        <v>-4226.5481760000002</v>
      </c>
      <c r="F41" s="35"/>
    </row>
    <row r="42" spans="1:6" ht="14" x14ac:dyDescent="0.25">
      <c r="A42" s="32">
        <v>19</v>
      </c>
      <c r="B42" s="32" t="str">
        <f>Source!E88</f>
        <v>19</v>
      </c>
      <c r="C42" s="35" t="str">
        <f>Source!G88</f>
        <v>Подметание вручную дорожек и площадок с твердым покрытием</v>
      </c>
      <c r="D42" s="32" t="s">
        <v>29</v>
      </c>
      <c r="E42" s="36">
        <f>Source!I88</f>
        <v>308.95819999999998</v>
      </c>
      <c r="F42" s="35"/>
    </row>
    <row r="43" spans="1:6" ht="28" x14ac:dyDescent="0.25">
      <c r="A43" s="32">
        <v>20</v>
      </c>
      <c r="B43" s="32" t="str">
        <f>Source!E90</f>
        <v>20</v>
      </c>
      <c r="C43" s="35" t="str">
        <f>Source!G90</f>
        <v>Уборка полиуретанового покрытия игровых площадок, спортивных дорожек и площадок вручную</v>
      </c>
      <c r="D43" s="32" t="s">
        <v>29</v>
      </c>
      <c r="E43" s="36">
        <f>Source!I90</f>
        <v>39.76</v>
      </c>
      <c r="F43" s="35"/>
    </row>
    <row r="44" spans="1:6" ht="28" x14ac:dyDescent="0.25">
      <c r="A44" s="32">
        <v>21</v>
      </c>
      <c r="B44" s="32" t="str">
        <f>Source!E91</f>
        <v>21</v>
      </c>
      <c r="C44" s="35" t="str">
        <f>Source!G91</f>
        <v>Полив тротуаров, придомовых и внутрибольничных проездов средствами малой механизации</v>
      </c>
      <c r="D44" s="32" t="s">
        <v>20</v>
      </c>
      <c r="E44" s="36">
        <f>Source!I91</f>
        <v>154.47909999999999</v>
      </c>
      <c r="F44" s="35"/>
    </row>
    <row r="45" spans="1:6" ht="14" x14ac:dyDescent="0.25">
      <c r="A45" s="32">
        <v>21.1</v>
      </c>
      <c r="B45" s="32" t="str">
        <f>Source!E92</f>
        <v>21,1</v>
      </c>
      <c r="C45" s="35" t="str">
        <f>Source!G92</f>
        <v>Вода</v>
      </c>
      <c r="D45" s="32" t="s">
        <v>39</v>
      </c>
      <c r="E45" s="36">
        <f>Source!I92</f>
        <v>-1027.2860149999999</v>
      </c>
      <c r="F45" s="35"/>
    </row>
    <row r="46" spans="1:6" ht="14" x14ac:dyDescent="0.25">
      <c r="A46" s="32">
        <v>22</v>
      </c>
      <c r="B46" s="32" t="str">
        <f>Source!E95</f>
        <v>22</v>
      </c>
      <c r="C46" s="35" t="str">
        <f>Source!G95</f>
        <v>Протирка садовых диванов и скамеек</v>
      </c>
      <c r="D46" s="32" t="s">
        <v>29</v>
      </c>
      <c r="E46" s="36">
        <f>Source!I95</f>
        <v>1.5824</v>
      </c>
      <c r="F46" s="35"/>
    </row>
    <row r="47" spans="1:6" ht="14" x14ac:dyDescent="0.25">
      <c r="A47" s="32">
        <v>22.1</v>
      </c>
      <c r="B47" s="32" t="str">
        <f>Source!E96</f>
        <v>22,1</v>
      </c>
      <c r="C47" s="35" t="str">
        <f>Source!G96</f>
        <v>Вода</v>
      </c>
      <c r="D47" s="32" t="s">
        <v>39</v>
      </c>
      <c r="E47" s="36">
        <f>Source!I96</f>
        <v>-0.44307200000000008</v>
      </c>
      <c r="F47" s="35"/>
    </row>
    <row r="48" spans="1:6" ht="28" x14ac:dyDescent="0.25">
      <c r="A48" s="32">
        <v>23</v>
      </c>
      <c r="B48" s="32" t="str">
        <f>Source!E99</f>
        <v>23</v>
      </c>
      <c r="C48" s="35" t="str">
        <f>Source!G99</f>
        <v>Уход за урнами на придомовых и внутрибольничных территориях, очистка урн опрокидывающихся от мусора</v>
      </c>
      <c r="D48" s="32" t="s">
        <v>88</v>
      </c>
      <c r="E48" s="36">
        <f>Source!I99</f>
        <v>1.27</v>
      </c>
      <c r="F48" s="35"/>
    </row>
    <row r="49" spans="1:6" ht="28" x14ac:dyDescent="0.25">
      <c r="A49" s="32">
        <v>24</v>
      </c>
      <c r="B49" s="32" t="str">
        <f>Source!E100</f>
        <v>24</v>
      </c>
      <c r="C49" s="35" t="str">
        <f>Source!G100</f>
        <v>Уход за урнами на придомовых и внутрибольничных территориях, промывка урн опрокидывающихся</v>
      </c>
      <c r="D49" s="32" t="s">
        <v>88</v>
      </c>
      <c r="E49" s="36">
        <f>Source!I100</f>
        <v>1.27</v>
      </c>
      <c r="F49" s="35"/>
    </row>
    <row r="50" spans="1:6" ht="14" x14ac:dyDescent="0.25">
      <c r="A50" s="32">
        <v>24.1</v>
      </c>
      <c r="B50" s="32" t="str">
        <f>Source!E101</f>
        <v>24,1</v>
      </c>
      <c r="C50" s="35" t="str">
        <f>Source!G101</f>
        <v>Вода</v>
      </c>
      <c r="D50" s="32" t="s">
        <v>39</v>
      </c>
      <c r="E50" s="36">
        <f>Source!I101</f>
        <v>-24.765000000000001</v>
      </c>
      <c r="F50" s="35"/>
    </row>
    <row r="51" spans="1:6" ht="14" x14ac:dyDescent="0.25">
      <c r="A51" s="32">
        <v>25</v>
      </c>
      <c r="B51" s="32" t="str">
        <f>Source!E102</f>
        <v>25</v>
      </c>
      <c r="C51" s="35" t="str">
        <f>Source!G102</f>
        <v>Подметание контейнерной площадки с уборкой мусора</v>
      </c>
      <c r="D51" s="32" t="s">
        <v>194</v>
      </c>
      <c r="E51" s="36">
        <f>Source!I102</f>
        <v>4.68</v>
      </c>
      <c r="F51" s="35"/>
    </row>
    <row r="52" spans="1:6" ht="28" x14ac:dyDescent="0.25">
      <c r="A52" s="32">
        <v>26</v>
      </c>
      <c r="B52" s="32" t="str">
        <f>Source!E103</f>
        <v>26</v>
      </c>
      <c r="C52" s="35" t="str">
        <f>Source!G103</f>
        <v>Промывка оград металлических простого рисунка от пыли и грязи водой под напором</v>
      </c>
      <c r="D52" s="32" t="s">
        <v>29</v>
      </c>
      <c r="E52" s="36">
        <f>Source!I103</f>
        <v>14.087</v>
      </c>
      <c r="F52" s="35"/>
    </row>
    <row r="53" spans="1:6" ht="16.5" x14ac:dyDescent="0.35">
      <c r="A53" s="57" t="str">
        <f>CONCATENATE("Подраздел: ", Source!G135)</f>
        <v>Подраздел: Подраздел: УХОД ЗА ЗЕЛЕНЫМИ НАСАЖДЕНИЯМИ</v>
      </c>
      <c r="B53" s="57"/>
      <c r="C53" s="57"/>
      <c r="D53" s="57"/>
      <c r="E53" s="57"/>
      <c r="F53" s="57"/>
    </row>
    <row r="54" spans="1:6" ht="14" x14ac:dyDescent="0.25">
      <c r="A54" s="32">
        <v>27</v>
      </c>
      <c r="B54" s="32" t="str">
        <f>Source!E139</f>
        <v>27</v>
      </c>
      <c r="C54" s="35" t="str">
        <f>Source!G139</f>
        <v>Уборка газонов от опавших листьев и мусора пневмомашиной</v>
      </c>
      <c r="D54" s="32" t="s">
        <v>29</v>
      </c>
      <c r="E54" s="36">
        <f>Source!I139</f>
        <v>618.91</v>
      </c>
      <c r="F54" s="35"/>
    </row>
    <row r="55" spans="1:6" ht="14" x14ac:dyDescent="0.25">
      <c r="A55" s="32">
        <v>28</v>
      </c>
      <c r="B55" s="32" t="str">
        <f>Source!E140</f>
        <v>28</v>
      </c>
      <c r="C55" s="35" t="str">
        <f>Source!G140</f>
        <v>Уборка газонов от опавших листьев и мусора вручную</v>
      </c>
      <c r="D55" s="32" t="s">
        <v>29</v>
      </c>
      <c r="E55" s="36">
        <f>Source!I140</f>
        <v>123.782</v>
      </c>
      <c r="F55" s="35"/>
    </row>
    <row r="56" spans="1:6" ht="14" x14ac:dyDescent="0.25">
      <c r="A56" s="32">
        <v>29</v>
      </c>
      <c r="B56" s="32" t="str">
        <f>Source!E141</f>
        <v>29</v>
      </c>
      <c r="C56" s="35" t="str">
        <f>Source!G141</f>
        <v>Уборка опавшей листвы в мешки с погрузкой (71 456, 00*0,005)</v>
      </c>
      <c r="D56" s="32" t="s">
        <v>39</v>
      </c>
      <c r="E56" s="36">
        <f>Source!I141</f>
        <v>371.35</v>
      </c>
      <c r="F56" s="35"/>
    </row>
    <row r="57" spans="1:6" ht="14" x14ac:dyDescent="0.25">
      <c r="A57" s="32">
        <v>30</v>
      </c>
      <c r="B57" s="32" t="str">
        <f>Source!E142</f>
        <v>30</v>
      </c>
      <c r="C57" s="35" t="str">
        <f>Source!G142</f>
        <v>Сбор случайного мусора по территории</v>
      </c>
      <c r="D57" s="32" t="s">
        <v>29</v>
      </c>
      <c r="E57" s="36">
        <f>Source!I142</f>
        <v>247.56399999999999</v>
      </c>
      <c r="F57" s="35"/>
    </row>
    <row r="58" spans="1:6" ht="14" x14ac:dyDescent="0.25">
      <c r="A58" s="32">
        <v>31</v>
      </c>
      <c r="B58" s="32" t="str">
        <f>Source!E143</f>
        <v>31</v>
      </c>
      <c r="C58" s="35" t="str">
        <f>Source!G143</f>
        <v>Выкашивание газонов газонокосилкой</v>
      </c>
      <c r="D58" s="32" t="s">
        <v>29</v>
      </c>
      <c r="E58" s="36">
        <f>Source!I143</f>
        <v>1237.82</v>
      </c>
      <c r="F58" s="35"/>
    </row>
    <row r="59" spans="1:6" ht="28" x14ac:dyDescent="0.25">
      <c r="A59" s="32">
        <v>32</v>
      </c>
      <c r="B59" s="32" t="str">
        <f>Source!E144</f>
        <v>32</v>
      </c>
      <c r="C59" s="35" t="str">
        <f>Source!G144</f>
        <v>Полив зеленых насаждений из шланга поливомоечной  (5 л на 1 м2) (80% от площади скашивания)</v>
      </c>
      <c r="D59" s="32" t="s">
        <v>39</v>
      </c>
      <c r="E59" s="36">
        <f>Source!I144</f>
        <v>495.12799999999999</v>
      </c>
      <c r="F59" s="35"/>
    </row>
    <row r="60" spans="1:6" ht="14" x14ac:dyDescent="0.25">
      <c r="A60" s="32">
        <v>32.1</v>
      </c>
      <c r="B60" s="32" t="str">
        <f>Source!E145</f>
        <v>32,1</v>
      </c>
      <c r="C60" s="35" t="str">
        <f>Source!G145</f>
        <v>Вода</v>
      </c>
      <c r="D60" s="32" t="s">
        <v>39</v>
      </c>
      <c r="E60" s="36">
        <f>Source!I145</f>
        <v>-6931.7920000000004</v>
      </c>
      <c r="F60" s="35"/>
    </row>
    <row r="61" spans="1:6" ht="28" x14ac:dyDescent="0.25">
      <c r="A61" s="32">
        <v>33</v>
      </c>
      <c r="B61" s="32" t="str">
        <f>Source!E146</f>
        <v>33</v>
      </c>
      <c r="C61" s="35" t="str">
        <f>Source!G146</f>
        <v>Внесение минеральных удобрений - равномерное внесение в почву сухих минеральных удобрений (без стоимости материалов) (50%)</v>
      </c>
      <c r="D61" s="32" t="s">
        <v>29</v>
      </c>
      <c r="E61" s="36">
        <f>Source!I146</f>
        <v>618.91</v>
      </c>
      <c r="F61" s="35"/>
    </row>
    <row r="62" spans="1:6" ht="14" x14ac:dyDescent="0.25">
      <c r="A62" s="32">
        <v>33.1</v>
      </c>
      <c r="B62" s="32" t="str">
        <f>Source!E147</f>
        <v>33,1</v>
      </c>
      <c r="C62" s="35" t="str">
        <f>Source!G147</f>
        <v>Удобрения комплексные минеральные для газонов</v>
      </c>
      <c r="D62" s="32" t="s">
        <v>234</v>
      </c>
      <c r="E62" s="36">
        <f>Source!I147</f>
        <v>3094.55</v>
      </c>
      <c r="F62" s="35"/>
    </row>
    <row r="63" spans="1:6" ht="14" x14ac:dyDescent="0.25">
      <c r="A63" s="32">
        <v>34</v>
      </c>
      <c r="B63" s="32" t="str">
        <f>Source!E148</f>
        <v>34</v>
      </c>
      <c r="C63" s="35" t="str">
        <f>Source!G148</f>
        <v>Формовочная обрезка, стрижка кустарников - диаметр до 1 м</v>
      </c>
      <c r="D63" s="32" t="s">
        <v>239</v>
      </c>
      <c r="E63" s="36">
        <f>Source!I148</f>
        <v>262.89999999999998</v>
      </c>
      <c r="F63" s="35"/>
    </row>
    <row r="64" spans="1:6" ht="14" x14ac:dyDescent="0.25">
      <c r="A64" s="32">
        <v>35</v>
      </c>
      <c r="B64" s="32" t="str">
        <f>Source!E149</f>
        <v>35</v>
      </c>
      <c r="C64" s="35" t="str">
        <f>Source!G149</f>
        <v>Полив зеленых насаждений из шланга поливомоечной машины (5 л на 1 м2)</v>
      </c>
      <c r="D64" s="32" t="s">
        <v>39</v>
      </c>
      <c r="E64" s="36">
        <f>Source!I149</f>
        <v>114.872</v>
      </c>
      <c r="F64" s="35"/>
    </row>
    <row r="65" spans="1:6" ht="14" x14ac:dyDescent="0.25">
      <c r="A65" s="32">
        <v>35.1</v>
      </c>
      <c r="B65" s="32" t="str">
        <f>Source!E150</f>
        <v>35,1</v>
      </c>
      <c r="C65" s="35" t="str">
        <f>Source!G150</f>
        <v>Вода</v>
      </c>
      <c r="D65" s="32" t="s">
        <v>39</v>
      </c>
      <c r="E65" s="36">
        <f>Source!I150</f>
        <v>-3216.4160000000002</v>
      </c>
      <c r="F65" s="35"/>
    </row>
    <row r="66" spans="1:6" ht="14" x14ac:dyDescent="0.25">
      <c r="A66" s="32">
        <v>36</v>
      </c>
      <c r="B66" s="32" t="str">
        <f>Source!E151</f>
        <v>36</v>
      </c>
      <c r="C66" s="35" t="str">
        <f>Source!G151</f>
        <v>Прополка цветников с применением полотиков</v>
      </c>
      <c r="D66" s="32" t="s">
        <v>29</v>
      </c>
      <c r="E66" s="36">
        <f>Source!I151</f>
        <v>229.74299999999999</v>
      </c>
      <c r="F66" s="35"/>
    </row>
    <row r="67" spans="1:6" ht="28" x14ac:dyDescent="0.25">
      <c r="A67" s="32">
        <v>37</v>
      </c>
      <c r="B67" s="32" t="str">
        <f>Source!E152</f>
        <v>37</v>
      </c>
      <c r="C67" s="35" t="str">
        <f>Source!G152</f>
        <v>Обрезка стеблей отцветших цветочных растений и относ их за пределы цветника</v>
      </c>
      <c r="D67" s="32" t="s">
        <v>29</v>
      </c>
      <c r="E67" s="36">
        <f>Source!I152</f>
        <v>229.74299999999999</v>
      </c>
      <c r="F67" s="35"/>
    </row>
    <row r="68" spans="1:6" ht="42" x14ac:dyDescent="0.25">
      <c r="A68" s="32">
        <v>38</v>
      </c>
      <c r="B68" s="32" t="str">
        <f>Source!E153</f>
        <v>38</v>
      </c>
      <c r="C68" s="35" t="str">
        <f>Source!G153</f>
        <v>Опрыскивание растений из ранцевого опрыскивателя комплексным органическим жидким многофункциональным удобрением на основе вермикомпоста (без стоимости удобрения)</v>
      </c>
      <c r="D68" s="32" t="s">
        <v>29</v>
      </c>
      <c r="E68" s="36">
        <f>Source!I153</f>
        <v>229.74299999999999</v>
      </c>
      <c r="F68" s="35"/>
    </row>
    <row r="69" spans="1:6" ht="28" x14ac:dyDescent="0.25">
      <c r="A69" s="32">
        <v>38.1</v>
      </c>
      <c r="B69" s="32" t="str">
        <f>Source!E154</f>
        <v>38,1</v>
      </c>
      <c r="C69" s="35" t="str">
        <f>Source!G154</f>
        <v>Удобрение - биостимулятор, органическое жидкое, антистрессовое, для некорневой подкормки, типа Текамин Макс (N 7%)</v>
      </c>
      <c r="D69" s="32" t="s">
        <v>263</v>
      </c>
      <c r="E69" s="36">
        <f>Source!I154</f>
        <v>45.948599999999999</v>
      </c>
      <c r="F69" s="35"/>
    </row>
    <row r="70" spans="1:6" ht="14" x14ac:dyDescent="0.25">
      <c r="A70" s="32">
        <v>39</v>
      </c>
      <c r="B70" s="32" t="str">
        <f>Source!E155</f>
        <v>39</v>
      </c>
      <c r="C70" s="35" t="str">
        <f>Source!G155</f>
        <v>Формовочная обрезка деревьев высотой до 5 м</v>
      </c>
      <c r="D70" s="32" t="s">
        <v>268</v>
      </c>
      <c r="E70" s="36">
        <f>Source!I155</f>
        <v>313</v>
      </c>
      <c r="F70" s="35"/>
    </row>
    <row r="71" spans="1:6" ht="14" x14ac:dyDescent="0.25">
      <c r="A71" s="32">
        <v>40</v>
      </c>
      <c r="B71" s="32" t="str">
        <f>Source!E156</f>
        <v>40</v>
      </c>
      <c r="C71" s="35" t="str">
        <f>Source!G156</f>
        <v>Полив зеленых насаждений из шланга поливомоечной машины (40 л на 1 м2)</v>
      </c>
      <c r="D71" s="32" t="s">
        <v>39</v>
      </c>
      <c r="E71" s="36">
        <f>Source!I156</f>
        <v>28.17</v>
      </c>
      <c r="F71" s="35"/>
    </row>
    <row r="72" spans="1:6" ht="14" x14ac:dyDescent="0.25">
      <c r="A72" s="17">
        <v>40.1</v>
      </c>
      <c r="B72" s="17" t="str">
        <f>Source!E157</f>
        <v>40,1</v>
      </c>
      <c r="C72" s="33" t="str">
        <f>Source!G157</f>
        <v>Вода</v>
      </c>
      <c r="D72" s="17" t="s">
        <v>39</v>
      </c>
      <c r="E72" s="34">
        <f>Source!I157</f>
        <v>-788.76</v>
      </c>
      <c r="F72" s="33"/>
    </row>
    <row r="75" spans="1:6" ht="14" x14ac:dyDescent="0.3">
      <c r="C75" s="37" t="s">
        <v>396</v>
      </c>
      <c r="D75" s="37" t="str">
        <f>IF(Source!X12&lt;&gt;"", Source!X12," ")</f>
        <v xml:space="preserve"> </v>
      </c>
      <c r="E75" s="28"/>
    </row>
    <row r="76" spans="1:6" ht="14" x14ac:dyDescent="0.3">
      <c r="C76" s="9"/>
      <c r="D76" s="28"/>
      <c r="E76" s="28"/>
    </row>
    <row r="77" spans="1:6" ht="14" x14ac:dyDescent="0.3">
      <c r="C77" s="37" t="s">
        <v>397</v>
      </c>
      <c r="D77" s="37" t="str">
        <f>IF(Source!AB12&lt;&gt;"", Source!AB12," ")</f>
        <v xml:space="preserve"> </v>
      </c>
      <c r="E77" s="28"/>
    </row>
  </sheetData>
  <mergeCells count="9">
    <mergeCell ref="A19:F19"/>
    <mergeCell ref="A39:F39"/>
    <mergeCell ref="A53:F53"/>
    <mergeCell ref="D5:E5"/>
    <mergeCell ref="D7:E7"/>
    <mergeCell ref="B12:E12"/>
    <mergeCell ref="B13:E13"/>
    <mergeCell ref="B14:E14"/>
    <mergeCell ref="A18:F18"/>
  </mergeCells>
  <pageMargins left="0.4" right="0.2" top="0.2" bottom="0.4" header="0.2" footer="0.2"/>
  <pageSetup paperSize="9" scale="73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3FC69-704A-4B2C-B5B0-1B1FE1089CBD}">
  <dimension ref="A1:IK291"/>
  <sheetViews>
    <sheetView topLeftCell="A238" workbookViewId="0">
      <selection activeCell="F282" sqref="F282"/>
    </sheetView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33" ht="13" x14ac:dyDescent="0.3">
      <c r="A12" s="1">
        <v>1</v>
      </c>
      <c r="B12" s="1">
        <v>287</v>
      </c>
      <c r="C12" s="1">
        <v>0</v>
      </c>
      <c r="D12" s="1">
        <f>ROW(A251)</f>
        <v>251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ht="13" x14ac:dyDescent="0.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ht="13" x14ac:dyDescent="0.3">
      <c r="A18" s="2">
        <v>52</v>
      </c>
      <c r="B18" s="2">
        <f t="shared" ref="B18:G18" si="0">B251</f>
        <v>287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Зона 1</v>
      </c>
      <c r="H18" s="2"/>
      <c r="I18" s="2"/>
      <c r="J18" s="2"/>
      <c r="K18" s="2"/>
      <c r="L18" s="2"/>
      <c r="M18" s="2"/>
      <c r="N18" s="2"/>
      <c r="O18" s="2">
        <f t="shared" ref="O18:AT18" si="1">O251</f>
        <v>115061950.14</v>
      </c>
      <c r="P18" s="2">
        <f t="shared" si="1"/>
        <v>11271375.4</v>
      </c>
      <c r="Q18" s="2">
        <f t="shared" si="1"/>
        <v>63570006.670000002</v>
      </c>
      <c r="R18" s="2">
        <f t="shared" si="1"/>
        <v>27941466.399999999</v>
      </c>
      <c r="S18" s="2">
        <f t="shared" si="1"/>
        <v>40220568.07</v>
      </c>
      <c r="T18" s="2">
        <f t="shared" si="1"/>
        <v>0</v>
      </c>
      <c r="U18" s="2">
        <f t="shared" si="1"/>
        <v>89022.805405999999</v>
      </c>
      <c r="V18" s="2">
        <f t="shared" si="1"/>
        <v>0</v>
      </c>
      <c r="W18" s="2">
        <f t="shared" si="1"/>
        <v>0</v>
      </c>
      <c r="X18" s="2">
        <f t="shared" si="1"/>
        <v>28154397.670000002</v>
      </c>
      <c r="Y18" s="2">
        <f t="shared" si="1"/>
        <v>4022056.82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177415188.34999999</v>
      </c>
      <c r="AS18" s="2">
        <f t="shared" si="1"/>
        <v>0</v>
      </c>
      <c r="AT18" s="2">
        <f t="shared" si="1"/>
        <v>0</v>
      </c>
      <c r="AU18" s="2">
        <f t="shared" ref="AU18:BZ18" si="2">AU251</f>
        <v>177415188.34999999</v>
      </c>
      <c r="AV18" s="2">
        <f t="shared" si="2"/>
        <v>11271375.4</v>
      </c>
      <c r="AW18" s="2">
        <f t="shared" si="2"/>
        <v>11271375.4</v>
      </c>
      <c r="AX18" s="2">
        <f t="shared" si="2"/>
        <v>0</v>
      </c>
      <c r="AY18" s="2">
        <f t="shared" si="2"/>
        <v>11271375.4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CA251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DG251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EM251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FS251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ht="13" x14ac:dyDescent="0.3">
      <c r="A20" s="1">
        <v>3</v>
      </c>
      <c r="B20" s="1">
        <v>1</v>
      </c>
      <c r="C20" s="1"/>
      <c r="D20" s="1">
        <f>ROW(A219)</f>
        <v>219</v>
      </c>
      <c r="E20" s="1"/>
      <c r="F20" s="1" t="s">
        <v>12</v>
      </c>
      <c r="G20" s="1" t="s">
        <v>13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ht="13" x14ac:dyDescent="0.3">
      <c r="A22" s="2">
        <v>52</v>
      </c>
      <c r="B22" s="2">
        <f t="shared" ref="B22:G22" si="7">B219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Локальная смета: Зона №1</v>
      </c>
      <c r="H22" s="2"/>
      <c r="I22" s="2"/>
      <c r="J22" s="2"/>
      <c r="K22" s="2"/>
      <c r="L22" s="2"/>
      <c r="M22" s="2"/>
      <c r="N22" s="2"/>
      <c r="O22" s="2">
        <f t="shared" ref="O22:AT22" si="8">O219</f>
        <v>115061950.14</v>
      </c>
      <c r="P22" s="2">
        <f t="shared" si="8"/>
        <v>11271375.4</v>
      </c>
      <c r="Q22" s="2">
        <f t="shared" si="8"/>
        <v>63570006.670000002</v>
      </c>
      <c r="R22" s="2">
        <f t="shared" si="8"/>
        <v>27941466.399999999</v>
      </c>
      <c r="S22" s="2">
        <f t="shared" si="8"/>
        <v>40220568.07</v>
      </c>
      <c r="T22" s="2">
        <f t="shared" si="8"/>
        <v>0</v>
      </c>
      <c r="U22" s="2">
        <f t="shared" si="8"/>
        <v>89022.805405999999</v>
      </c>
      <c r="V22" s="2">
        <f t="shared" si="8"/>
        <v>0</v>
      </c>
      <c r="W22" s="2">
        <f t="shared" si="8"/>
        <v>0</v>
      </c>
      <c r="X22" s="2">
        <f t="shared" si="8"/>
        <v>28154397.670000002</v>
      </c>
      <c r="Y22" s="2">
        <f t="shared" si="8"/>
        <v>4022056.82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177415188.34999999</v>
      </c>
      <c r="AS22" s="2">
        <f t="shared" si="8"/>
        <v>0</v>
      </c>
      <c r="AT22" s="2">
        <f t="shared" si="8"/>
        <v>0</v>
      </c>
      <c r="AU22" s="2">
        <f t="shared" ref="AU22:BZ22" si="9">AU219</f>
        <v>177415188.34999999</v>
      </c>
      <c r="AV22" s="2">
        <f t="shared" si="9"/>
        <v>11271375.4</v>
      </c>
      <c r="AW22" s="2">
        <f t="shared" si="9"/>
        <v>11271375.4</v>
      </c>
      <c r="AX22" s="2">
        <f t="shared" si="9"/>
        <v>0</v>
      </c>
      <c r="AY22" s="2">
        <f t="shared" si="9"/>
        <v>11271375.4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CA219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DG219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EM219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FS219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ht="13" x14ac:dyDescent="0.3">
      <c r="A24" s="1">
        <v>4</v>
      </c>
      <c r="B24" s="1">
        <v>1</v>
      </c>
      <c r="C24" s="1"/>
      <c r="D24" s="1">
        <f>ROW(A189)</f>
        <v>189</v>
      </c>
      <c r="E24" s="1"/>
      <c r="F24" s="1" t="s">
        <v>14</v>
      </c>
      <c r="G24" s="1" t="s">
        <v>15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ht="13" x14ac:dyDescent="0.3">
      <c r="A26" s="2">
        <v>52</v>
      </c>
      <c r="B26" s="2">
        <f t="shared" ref="B26:G26" si="14">B189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Раздел: Основная зона</v>
      </c>
      <c r="H26" s="2"/>
      <c r="I26" s="2"/>
      <c r="J26" s="2"/>
      <c r="K26" s="2"/>
      <c r="L26" s="2"/>
      <c r="M26" s="2"/>
      <c r="N26" s="2"/>
      <c r="O26" s="2">
        <f t="shared" ref="O26:AT26" si="15">O189</f>
        <v>115061950.14</v>
      </c>
      <c r="P26" s="2">
        <f t="shared" si="15"/>
        <v>11271375.4</v>
      </c>
      <c r="Q26" s="2">
        <f t="shared" si="15"/>
        <v>63570006.670000002</v>
      </c>
      <c r="R26" s="2">
        <f t="shared" si="15"/>
        <v>27941466.399999999</v>
      </c>
      <c r="S26" s="2">
        <f t="shared" si="15"/>
        <v>40220568.07</v>
      </c>
      <c r="T26" s="2">
        <f t="shared" si="15"/>
        <v>0</v>
      </c>
      <c r="U26" s="2">
        <f t="shared" si="15"/>
        <v>89022.805405999999</v>
      </c>
      <c r="V26" s="2">
        <f t="shared" si="15"/>
        <v>0</v>
      </c>
      <c r="W26" s="2">
        <f t="shared" si="15"/>
        <v>0</v>
      </c>
      <c r="X26" s="2">
        <f t="shared" si="15"/>
        <v>28154397.670000002</v>
      </c>
      <c r="Y26" s="2">
        <f t="shared" si="15"/>
        <v>4022056.82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177415188.34999999</v>
      </c>
      <c r="AS26" s="2">
        <f t="shared" si="15"/>
        <v>0</v>
      </c>
      <c r="AT26" s="2">
        <f t="shared" si="15"/>
        <v>0</v>
      </c>
      <c r="AU26" s="2">
        <f t="shared" ref="AU26:BZ26" si="16">AU189</f>
        <v>177415188.34999999</v>
      </c>
      <c r="AV26" s="2">
        <f t="shared" si="16"/>
        <v>11271375.4</v>
      </c>
      <c r="AW26" s="2">
        <f t="shared" si="16"/>
        <v>11271375.4</v>
      </c>
      <c r="AX26" s="2">
        <f t="shared" si="16"/>
        <v>0</v>
      </c>
      <c r="AY26" s="2">
        <f t="shared" si="16"/>
        <v>11271375.4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CA189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DG189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EM189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FS189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ht="13" x14ac:dyDescent="0.3">
      <c r="A28" s="1">
        <v>5</v>
      </c>
      <c r="B28" s="1">
        <v>1</v>
      </c>
      <c r="C28" s="1"/>
      <c r="D28" s="1">
        <f>ROW(A52)</f>
        <v>52</v>
      </c>
      <c r="E28" s="1"/>
      <c r="F28" s="1" t="s">
        <v>16</v>
      </c>
      <c r="G28" s="1" t="s">
        <v>398</v>
      </c>
      <c r="H28" s="1" t="s">
        <v>3</v>
      </c>
      <c r="I28" s="1">
        <v>0</v>
      </c>
      <c r="J28" s="1"/>
      <c r="K28" s="1">
        <v>0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ht="13" x14ac:dyDescent="0.3">
      <c r="A30" s="2">
        <v>52</v>
      </c>
      <c r="B30" s="2">
        <f t="shared" ref="B30:G30" si="21">B52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 xml:space="preserve">Подраздел: ЗИМНЯЯ УБОРКА </v>
      </c>
      <c r="H30" s="2"/>
      <c r="I30" s="2"/>
      <c r="J30" s="2"/>
      <c r="K30" s="2"/>
      <c r="L30" s="2"/>
      <c r="M30" s="2"/>
      <c r="N30" s="2"/>
      <c r="O30" s="2">
        <f t="shared" ref="O30:AT30" si="22">O52</f>
        <v>70504569.359999999</v>
      </c>
      <c r="P30" s="2">
        <f t="shared" si="22"/>
        <v>10634995.16</v>
      </c>
      <c r="Q30" s="2">
        <f t="shared" si="22"/>
        <v>40967747.899999999</v>
      </c>
      <c r="R30" s="2">
        <f t="shared" si="22"/>
        <v>18687597.140000001</v>
      </c>
      <c r="S30" s="2">
        <f t="shared" si="22"/>
        <v>18901826.300000001</v>
      </c>
      <c r="T30" s="2">
        <f t="shared" si="22"/>
        <v>0</v>
      </c>
      <c r="U30" s="2">
        <f t="shared" si="22"/>
        <v>41713.278178</v>
      </c>
      <c r="V30" s="2">
        <f t="shared" si="22"/>
        <v>0</v>
      </c>
      <c r="W30" s="2">
        <f t="shared" si="22"/>
        <v>0</v>
      </c>
      <c r="X30" s="2">
        <f t="shared" si="22"/>
        <v>13231278.43</v>
      </c>
      <c r="Y30" s="2">
        <f t="shared" si="22"/>
        <v>1890182.65</v>
      </c>
      <c r="Z30" s="2">
        <f t="shared" si="22"/>
        <v>0</v>
      </c>
      <c r="AA30" s="2">
        <f t="shared" si="22"/>
        <v>0</v>
      </c>
      <c r="AB30" s="2">
        <f t="shared" si="22"/>
        <v>70504569.359999999</v>
      </c>
      <c r="AC30" s="2">
        <f t="shared" si="22"/>
        <v>10634995.16</v>
      </c>
      <c r="AD30" s="2">
        <f t="shared" si="22"/>
        <v>40967747.899999999</v>
      </c>
      <c r="AE30" s="2">
        <f t="shared" si="22"/>
        <v>18687597.140000001</v>
      </c>
      <c r="AF30" s="2">
        <f t="shared" si="22"/>
        <v>18901826.300000001</v>
      </c>
      <c r="AG30" s="2">
        <f t="shared" si="22"/>
        <v>0</v>
      </c>
      <c r="AH30" s="2">
        <f t="shared" si="22"/>
        <v>41713.278178</v>
      </c>
      <c r="AI30" s="2">
        <f t="shared" si="22"/>
        <v>0</v>
      </c>
      <c r="AJ30" s="2">
        <f t="shared" si="22"/>
        <v>0</v>
      </c>
      <c r="AK30" s="2">
        <f t="shared" si="22"/>
        <v>13231278.43</v>
      </c>
      <c r="AL30" s="2">
        <f t="shared" si="22"/>
        <v>1890182.65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105808635.36</v>
      </c>
      <c r="AS30" s="2">
        <f t="shared" si="22"/>
        <v>0</v>
      </c>
      <c r="AT30" s="2">
        <f t="shared" si="22"/>
        <v>0</v>
      </c>
      <c r="AU30" s="2">
        <f t="shared" ref="AU30:BZ30" si="23">AU52</f>
        <v>105808635.36</v>
      </c>
      <c r="AV30" s="2">
        <f t="shared" si="23"/>
        <v>10634995.16</v>
      </c>
      <c r="AW30" s="2">
        <f t="shared" si="23"/>
        <v>10634995.16</v>
      </c>
      <c r="AX30" s="2">
        <f t="shared" si="23"/>
        <v>0</v>
      </c>
      <c r="AY30" s="2">
        <f t="shared" si="23"/>
        <v>10634995.16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CA52</f>
        <v>105808635.36</v>
      </c>
      <c r="CB30" s="2">
        <f t="shared" si="24"/>
        <v>0</v>
      </c>
      <c r="CC30" s="2">
        <f t="shared" si="24"/>
        <v>0</v>
      </c>
      <c r="CD30" s="2">
        <f t="shared" si="24"/>
        <v>105808635.36</v>
      </c>
      <c r="CE30" s="2">
        <f t="shared" si="24"/>
        <v>10634995.16</v>
      </c>
      <c r="CF30" s="2">
        <f t="shared" si="24"/>
        <v>10634995.16</v>
      </c>
      <c r="CG30" s="2">
        <f t="shared" si="24"/>
        <v>0</v>
      </c>
      <c r="CH30" s="2">
        <f t="shared" si="24"/>
        <v>10634995.16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DG52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EM52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FS52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5">
      <c r="A32">
        <v>17</v>
      </c>
      <c r="B32">
        <v>1</v>
      </c>
      <c r="C32">
        <f>ROW(SmtRes!A1)</f>
        <v>1</v>
      </c>
      <c r="D32">
        <f>ROW(EtalonRes!A1)</f>
        <v>1</v>
      </c>
      <c r="E32" t="s">
        <v>17</v>
      </c>
      <c r="F32" t="s">
        <v>18</v>
      </c>
      <c r="G32" t="s">
        <v>19</v>
      </c>
      <c r="H32" t="s">
        <v>20</v>
      </c>
      <c r="I32">
        <v>123.58328</v>
      </c>
      <c r="J32">
        <v>0</v>
      </c>
      <c r="K32">
        <v>123.58328</v>
      </c>
      <c r="O32">
        <f t="shared" ref="O32:O50" si="28">ROUND(CP32,2)</f>
        <v>8550659.1699999999</v>
      </c>
      <c r="P32">
        <f t="shared" ref="P32:P50" si="29">ROUND(CQ32*I32,2)</f>
        <v>0</v>
      </c>
      <c r="Q32">
        <f t="shared" ref="Q32:Q50" si="30">ROUND(CR32*I32,2)</f>
        <v>8550659.1699999999</v>
      </c>
      <c r="R32">
        <f t="shared" ref="R32:R50" si="31">ROUND(CS32*I32,2)</f>
        <v>2966857.62</v>
      </c>
      <c r="S32">
        <f t="shared" ref="S32:S50" si="32">ROUND(CT32*I32,2)</f>
        <v>0</v>
      </c>
      <c r="T32">
        <f t="shared" ref="T32:T50" si="33">ROUND(CU32*I32,2)</f>
        <v>0</v>
      </c>
      <c r="U32">
        <f t="shared" ref="U32:U50" si="34">CV32*I32</f>
        <v>0</v>
      </c>
      <c r="V32">
        <f t="shared" ref="V32:V50" si="35">CW32*I32</f>
        <v>0</v>
      </c>
      <c r="W32">
        <f t="shared" ref="W32:W50" si="36">ROUND(CX32*I32,2)</f>
        <v>0</v>
      </c>
      <c r="X32">
        <f t="shared" ref="X32:X50" si="37">ROUND(CY32,2)</f>
        <v>0</v>
      </c>
      <c r="Y32">
        <f t="shared" ref="Y32:Y50" si="38">ROUND(CZ32,2)</f>
        <v>0</v>
      </c>
      <c r="AA32">
        <v>80889732</v>
      </c>
      <c r="AB32">
        <f t="shared" ref="AB32:AB50" si="39">ROUND((AC32+AD32+AF32),6)</f>
        <v>69189.45</v>
      </c>
      <c r="AC32">
        <f>ROUND(((ES32*55)),6)</f>
        <v>0</v>
      </c>
      <c r="AD32">
        <f>ROUND(((((ET32*55))-((EU32*55)))+AE32),6)</f>
        <v>69189.45</v>
      </c>
      <c r="AE32">
        <f>ROUND(((EU32*55)),6)</f>
        <v>24006.95</v>
      </c>
      <c r="AF32">
        <f>ROUND(((EV32*55)),6)</f>
        <v>0</v>
      </c>
      <c r="AG32">
        <f t="shared" ref="AG32:AG50" si="40">ROUND((AP32),6)</f>
        <v>0</v>
      </c>
      <c r="AH32">
        <f>((EW32*55))</f>
        <v>0</v>
      </c>
      <c r="AI32">
        <f>((EX32*55))</f>
        <v>0</v>
      </c>
      <c r="AJ32">
        <f t="shared" ref="AJ32:AJ50" si="41">(AS32)</f>
        <v>0</v>
      </c>
      <c r="AK32">
        <v>1257.99</v>
      </c>
      <c r="AL32">
        <v>0</v>
      </c>
      <c r="AM32">
        <v>1257.99</v>
      </c>
      <c r="AN32">
        <v>436.49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21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50" si="42">(P32+Q32+S32)</f>
        <v>8550659.1699999999</v>
      </c>
      <c r="CQ32">
        <f t="shared" ref="CQ32:CQ50" si="43">(AC32*BC32*AW32)</f>
        <v>0</v>
      </c>
      <c r="CR32">
        <f>(((((ET32*55))*BB32-((EU32*55))*BS32)+AE32*BS32)*AV32)</f>
        <v>69189.45</v>
      </c>
      <c r="CS32">
        <f t="shared" ref="CS32:CS50" si="44">(AE32*BS32*AV32)</f>
        <v>24006.95</v>
      </c>
      <c r="CT32">
        <f t="shared" ref="CT32:CT50" si="45">(AF32*BA32*AV32)</f>
        <v>0</v>
      </c>
      <c r="CU32">
        <f t="shared" ref="CU32:CU50" si="46">AG32</f>
        <v>0</v>
      </c>
      <c r="CV32">
        <f t="shared" ref="CV32:CV50" si="47">(AH32*AV32)</f>
        <v>0</v>
      </c>
      <c r="CW32">
        <f t="shared" ref="CW32:CW50" si="48">AI32</f>
        <v>0</v>
      </c>
      <c r="CX32">
        <f t="shared" ref="CX32:CX50" si="49">AJ32</f>
        <v>0</v>
      </c>
      <c r="CY32">
        <f t="shared" ref="CY32:CY50" si="50">((S32*BZ32)/100)</f>
        <v>0</v>
      </c>
      <c r="CZ32">
        <f t="shared" ref="CZ32:CZ50" si="51">((S32*CA32)/100)</f>
        <v>0</v>
      </c>
      <c r="DC32" t="s">
        <v>3</v>
      </c>
      <c r="DD32" t="s">
        <v>22</v>
      </c>
      <c r="DE32" t="s">
        <v>22</v>
      </c>
      <c r="DF32" t="s">
        <v>22</v>
      </c>
      <c r="DG32" t="s">
        <v>22</v>
      </c>
      <c r="DH32" t="s">
        <v>3</v>
      </c>
      <c r="DI32" t="s">
        <v>22</v>
      </c>
      <c r="DJ32" t="s">
        <v>22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20</v>
      </c>
      <c r="DW32" t="s">
        <v>20</v>
      </c>
      <c r="DX32">
        <v>1000</v>
      </c>
      <c r="DZ32" t="s">
        <v>3</v>
      </c>
      <c r="EA32" t="s">
        <v>3</v>
      </c>
      <c r="EB32" t="s">
        <v>3</v>
      </c>
      <c r="EC32" t="s">
        <v>3</v>
      </c>
      <c r="EE32">
        <v>80196140</v>
      </c>
      <c r="EF32">
        <v>1</v>
      </c>
      <c r="EG32" t="s">
        <v>23</v>
      </c>
      <c r="EH32">
        <v>0</v>
      </c>
      <c r="EI32" t="s">
        <v>3</v>
      </c>
      <c r="EJ32">
        <v>4</v>
      </c>
      <c r="EK32">
        <v>0</v>
      </c>
      <c r="EL32" t="s">
        <v>24</v>
      </c>
      <c r="EM32" t="s">
        <v>25</v>
      </c>
      <c r="EO32" t="s">
        <v>3</v>
      </c>
      <c r="EQ32">
        <v>0</v>
      </c>
      <c r="ER32">
        <v>1257.99</v>
      </c>
      <c r="ES32">
        <v>0</v>
      </c>
      <c r="ET32">
        <v>1257.99</v>
      </c>
      <c r="EU32">
        <v>436.49</v>
      </c>
      <c r="EV32">
        <v>0</v>
      </c>
      <c r="EW32">
        <v>0</v>
      </c>
      <c r="EX32">
        <v>0</v>
      </c>
      <c r="EY32">
        <v>0</v>
      </c>
      <c r="FQ32">
        <v>0</v>
      </c>
      <c r="FR32"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-459785160</v>
      </c>
      <c r="GG32">
        <v>2</v>
      </c>
      <c r="GH32">
        <v>1</v>
      </c>
      <c r="GI32">
        <v>-2</v>
      </c>
      <c r="GJ32">
        <v>0</v>
      </c>
      <c r="GK32">
        <f>ROUND(R32*(R12)/100,2)</f>
        <v>3204206.23</v>
      </c>
      <c r="GL32">
        <f t="shared" ref="GL32:GL50" si="52">ROUND(IF(AND(BH32=3,BI32=3,FS32&lt;&gt;0),P32,0),2)</f>
        <v>0</v>
      </c>
      <c r="GM32">
        <f t="shared" ref="GM32:GM50" si="53">ROUND(O32+X32+Y32+GK32,2)+GX32</f>
        <v>11754865.4</v>
      </c>
      <c r="GN32">
        <f t="shared" ref="GN32:GN50" si="54">IF(OR(BI32=0,BI32=1),GM32-GX32,0)</f>
        <v>0</v>
      </c>
      <c r="GO32">
        <f t="shared" ref="GO32:GO50" si="55">IF(BI32=2,GM32-GX32,0)</f>
        <v>0</v>
      </c>
      <c r="GP32">
        <f t="shared" ref="GP32:GP50" si="56">IF(BI32=4,GM32-GX32,0)</f>
        <v>11754865.4</v>
      </c>
      <c r="GR32">
        <v>0</v>
      </c>
      <c r="GS32">
        <v>3</v>
      </c>
      <c r="GT32">
        <v>0</v>
      </c>
      <c r="GU32" t="s">
        <v>3</v>
      </c>
      <c r="GV32">
        <f t="shared" ref="GV32:GV50" si="57">ROUND((GT32),6)</f>
        <v>0</v>
      </c>
      <c r="GW32">
        <v>1</v>
      </c>
      <c r="GX32">
        <f t="shared" ref="GX32:GX50" si="58">ROUND(HC32*I32,2)</f>
        <v>0</v>
      </c>
      <c r="HA32">
        <v>0</v>
      </c>
      <c r="HB32">
        <v>0</v>
      </c>
      <c r="HC32">
        <f t="shared" ref="HC32:HC50" si="59"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HS32">
        <v>0</v>
      </c>
      <c r="IK32">
        <v>0</v>
      </c>
    </row>
    <row r="33" spans="1:245" x14ac:dyDescent="0.25">
      <c r="A33">
        <v>17</v>
      </c>
      <c r="B33">
        <v>1</v>
      </c>
      <c r="C33">
        <f>ROW(SmtRes!A2)</f>
        <v>2</v>
      </c>
      <c r="D33">
        <f>ROW(EtalonRes!A2)</f>
        <v>2</v>
      </c>
      <c r="E33" t="s">
        <v>26</v>
      </c>
      <c r="F33" t="s">
        <v>27</v>
      </c>
      <c r="G33" t="s">
        <v>28</v>
      </c>
      <c r="H33" t="s">
        <v>29</v>
      </c>
      <c r="I33">
        <v>308.95819999999998</v>
      </c>
      <c r="J33">
        <v>0</v>
      </c>
      <c r="K33">
        <v>308.95819999999998</v>
      </c>
      <c r="O33">
        <f t="shared" si="28"/>
        <v>5005030.1500000004</v>
      </c>
      <c r="P33">
        <f t="shared" si="29"/>
        <v>0</v>
      </c>
      <c r="Q33">
        <f t="shared" si="30"/>
        <v>0</v>
      </c>
      <c r="R33">
        <f t="shared" si="31"/>
        <v>0</v>
      </c>
      <c r="S33">
        <f t="shared" si="32"/>
        <v>5005030.1500000004</v>
      </c>
      <c r="T33">
        <f t="shared" si="33"/>
        <v>0</v>
      </c>
      <c r="U33">
        <f t="shared" si="34"/>
        <v>11045.255649999999</v>
      </c>
      <c r="V33">
        <f t="shared" si="35"/>
        <v>0</v>
      </c>
      <c r="W33">
        <f t="shared" si="36"/>
        <v>0</v>
      </c>
      <c r="X33">
        <f t="shared" si="37"/>
        <v>3503521.11</v>
      </c>
      <c r="Y33">
        <f t="shared" si="38"/>
        <v>500503.02</v>
      </c>
      <c r="AA33">
        <v>80889732</v>
      </c>
      <c r="AB33">
        <f t="shared" si="39"/>
        <v>16199.7</v>
      </c>
      <c r="AC33">
        <f>ROUND(((ES33*55)),6)</f>
        <v>0</v>
      </c>
      <c r="AD33">
        <f>ROUND(((((ET33*55))-((EU33*55)))+AE33),6)</f>
        <v>0</v>
      </c>
      <c r="AE33">
        <f>ROUND(((EU33*55)),6)</f>
        <v>0</v>
      </c>
      <c r="AF33">
        <f>ROUND(((EV33*55)),6)</f>
        <v>16199.7</v>
      </c>
      <c r="AG33">
        <f t="shared" si="40"/>
        <v>0</v>
      </c>
      <c r="AH33">
        <f>((EW33*55))</f>
        <v>35.75</v>
      </c>
      <c r="AI33">
        <f>((EX33*55))</f>
        <v>0</v>
      </c>
      <c r="AJ33">
        <f t="shared" si="41"/>
        <v>0</v>
      </c>
      <c r="AK33">
        <v>294.54000000000002</v>
      </c>
      <c r="AL33">
        <v>0</v>
      </c>
      <c r="AM33">
        <v>0</v>
      </c>
      <c r="AN33">
        <v>0</v>
      </c>
      <c r="AO33">
        <v>294.54000000000002</v>
      </c>
      <c r="AP33">
        <v>0</v>
      </c>
      <c r="AQ33">
        <v>0.65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30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2"/>
        <v>5005030.1500000004</v>
      </c>
      <c r="CQ33">
        <f t="shared" si="43"/>
        <v>0</v>
      </c>
      <c r="CR33">
        <f>(((((ET33*55))*BB33-((EU33*55))*BS33)+AE33*BS33)*AV33)</f>
        <v>0</v>
      </c>
      <c r="CS33">
        <f t="shared" si="44"/>
        <v>0</v>
      </c>
      <c r="CT33">
        <f t="shared" si="45"/>
        <v>16199.7</v>
      </c>
      <c r="CU33">
        <f t="shared" si="46"/>
        <v>0</v>
      </c>
      <c r="CV33">
        <f t="shared" si="47"/>
        <v>35.75</v>
      </c>
      <c r="CW33">
        <f t="shared" si="48"/>
        <v>0</v>
      </c>
      <c r="CX33">
        <f t="shared" si="49"/>
        <v>0</v>
      </c>
      <c r="CY33">
        <f t="shared" si="50"/>
        <v>3503521.105</v>
      </c>
      <c r="CZ33">
        <f t="shared" si="51"/>
        <v>500503.01500000001</v>
      </c>
      <c r="DC33" t="s">
        <v>3</v>
      </c>
      <c r="DD33" t="s">
        <v>22</v>
      </c>
      <c r="DE33" t="s">
        <v>22</v>
      </c>
      <c r="DF33" t="s">
        <v>22</v>
      </c>
      <c r="DG33" t="s">
        <v>22</v>
      </c>
      <c r="DH33" t="s">
        <v>3</v>
      </c>
      <c r="DI33" t="s">
        <v>22</v>
      </c>
      <c r="DJ33" t="s">
        <v>22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1005</v>
      </c>
      <c r="DV33" t="s">
        <v>29</v>
      </c>
      <c r="DW33" t="s">
        <v>29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80196140</v>
      </c>
      <c r="EF33">
        <v>1</v>
      </c>
      <c r="EG33" t="s">
        <v>23</v>
      </c>
      <c r="EH33">
        <v>0</v>
      </c>
      <c r="EI33" t="s">
        <v>3</v>
      </c>
      <c r="EJ33">
        <v>4</v>
      </c>
      <c r="EK33">
        <v>0</v>
      </c>
      <c r="EL33" t="s">
        <v>24</v>
      </c>
      <c r="EM33" t="s">
        <v>25</v>
      </c>
      <c r="EO33" t="s">
        <v>3</v>
      </c>
      <c r="EQ33">
        <v>0</v>
      </c>
      <c r="ER33">
        <v>294.54000000000002</v>
      </c>
      <c r="ES33">
        <v>0</v>
      </c>
      <c r="ET33">
        <v>0</v>
      </c>
      <c r="EU33">
        <v>0</v>
      </c>
      <c r="EV33">
        <v>294.54000000000002</v>
      </c>
      <c r="EW33">
        <v>0.65</v>
      </c>
      <c r="EX33">
        <v>0</v>
      </c>
      <c r="EY33">
        <v>0</v>
      </c>
      <c r="FQ33">
        <v>0</v>
      </c>
      <c r="FR33"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-476776594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52"/>
        <v>0</v>
      </c>
      <c r="GM33">
        <f t="shared" si="53"/>
        <v>9009054.2799999993</v>
      </c>
      <c r="GN33">
        <f t="shared" si="54"/>
        <v>0</v>
      </c>
      <c r="GO33">
        <f t="shared" si="55"/>
        <v>0</v>
      </c>
      <c r="GP33">
        <f t="shared" si="56"/>
        <v>9009054.2799999993</v>
      </c>
      <c r="GR33">
        <v>0</v>
      </c>
      <c r="GS33">
        <v>3</v>
      </c>
      <c r="GT33">
        <v>0</v>
      </c>
      <c r="GU33" t="s">
        <v>3</v>
      </c>
      <c r="GV33">
        <f t="shared" si="57"/>
        <v>0</v>
      </c>
      <c r="GW33">
        <v>1</v>
      </c>
      <c r="GX33">
        <f t="shared" si="58"/>
        <v>0</v>
      </c>
      <c r="HA33">
        <v>0</v>
      </c>
      <c r="HB33">
        <v>0</v>
      </c>
      <c r="HC33">
        <f t="shared" si="59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HS33">
        <v>0</v>
      </c>
      <c r="IK33">
        <v>0</v>
      </c>
    </row>
    <row r="34" spans="1:245" x14ac:dyDescent="0.25">
      <c r="A34">
        <v>17</v>
      </c>
      <c r="B34">
        <v>1</v>
      </c>
      <c r="C34">
        <f>ROW(SmtRes!A4)</f>
        <v>4</v>
      </c>
      <c r="D34">
        <f>ROW(EtalonRes!A4)</f>
        <v>4</v>
      </c>
      <c r="E34" t="s">
        <v>31</v>
      </c>
      <c r="F34" t="s">
        <v>32</v>
      </c>
      <c r="G34" t="s">
        <v>33</v>
      </c>
      <c r="H34" t="s">
        <v>20</v>
      </c>
      <c r="I34">
        <v>123.58328</v>
      </c>
      <c r="J34">
        <v>0</v>
      </c>
      <c r="K34">
        <v>123.58328</v>
      </c>
      <c r="O34">
        <f t="shared" si="28"/>
        <v>6510578.5199999996</v>
      </c>
      <c r="P34">
        <f t="shared" si="29"/>
        <v>150346.48000000001</v>
      </c>
      <c r="Q34">
        <f t="shared" si="30"/>
        <v>6360232.04</v>
      </c>
      <c r="R34">
        <f t="shared" si="31"/>
        <v>3006243.62</v>
      </c>
      <c r="S34">
        <f t="shared" si="32"/>
        <v>0</v>
      </c>
      <c r="T34">
        <f t="shared" si="33"/>
        <v>0</v>
      </c>
      <c r="U34">
        <f t="shared" si="34"/>
        <v>0</v>
      </c>
      <c r="V34">
        <f t="shared" si="35"/>
        <v>0</v>
      </c>
      <c r="W34">
        <f t="shared" si="36"/>
        <v>0</v>
      </c>
      <c r="X34">
        <f t="shared" si="37"/>
        <v>0</v>
      </c>
      <c r="Y34">
        <f t="shared" si="38"/>
        <v>0</v>
      </c>
      <c r="AA34">
        <v>80889732</v>
      </c>
      <c r="AB34">
        <f t="shared" si="39"/>
        <v>52681.71</v>
      </c>
      <c r="AC34">
        <f>ROUND(((ES34*111)),6)</f>
        <v>1216.56</v>
      </c>
      <c r="AD34">
        <f>ROUND(((((ET34*111))-((EU34*111)))+AE34),6)</f>
        <v>51465.15</v>
      </c>
      <c r="AE34">
        <f>ROUND(((EU34*111)),6)</f>
        <v>24325.65</v>
      </c>
      <c r="AF34">
        <f>ROUND(((EV34*111)),6)</f>
        <v>0</v>
      </c>
      <c r="AG34">
        <f t="shared" si="40"/>
        <v>0</v>
      </c>
      <c r="AH34">
        <f>((EW34*111))</f>
        <v>0</v>
      </c>
      <c r="AI34">
        <f>((EX34*111))</f>
        <v>0</v>
      </c>
      <c r="AJ34">
        <f t="shared" si="41"/>
        <v>0</v>
      </c>
      <c r="AK34">
        <v>474.61</v>
      </c>
      <c r="AL34">
        <v>10.96</v>
      </c>
      <c r="AM34">
        <v>463.65</v>
      </c>
      <c r="AN34">
        <v>219.15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34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2"/>
        <v>6510578.5200000005</v>
      </c>
      <c r="CQ34">
        <f t="shared" si="43"/>
        <v>1216.56</v>
      </c>
      <c r="CR34">
        <f>(((((ET34*111))*BB34-((EU34*111))*BS34)+AE34*BS34)*AV34)</f>
        <v>51465.149999999994</v>
      </c>
      <c r="CS34">
        <f t="shared" si="44"/>
        <v>24325.65</v>
      </c>
      <c r="CT34">
        <f t="shared" si="45"/>
        <v>0</v>
      </c>
      <c r="CU34">
        <f t="shared" si="46"/>
        <v>0</v>
      </c>
      <c r="CV34">
        <f t="shared" si="47"/>
        <v>0</v>
      </c>
      <c r="CW34">
        <f t="shared" si="48"/>
        <v>0</v>
      </c>
      <c r="CX34">
        <f t="shared" si="49"/>
        <v>0</v>
      </c>
      <c r="CY34">
        <f t="shared" si="50"/>
        <v>0</v>
      </c>
      <c r="CZ34">
        <f t="shared" si="51"/>
        <v>0</v>
      </c>
      <c r="DC34" t="s">
        <v>3</v>
      </c>
      <c r="DD34" t="s">
        <v>35</v>
      </c>
      <c r="DE34" t="s">
        <v>35</v>
      </c>
      <c r="DF34" t="s">
        <v>35</v>
      </c>
      <c r="DG34" t="s">
        <v>35</v>
      </c>
      <c r="DH34" t="s">
        <v>3</v>
      </c>
      <c r="DI34" t="s">
        <v>35</v>
      </c>
      <c r="DJ34" t="s">
        <v>35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1005</v>
      </c>
      <c r="DV34" t="s">
        <v>20</v>
      </c>
      <c r="DW34" t="s">
        <v>20</v>
      </c>
      <c r="DX34">
        <v>1000</v>
      </c>
      <c r="DZ34" t="s">
        <v>3</v>
      </c>
      <c r="EA34" t="s">
        <v>3</v>
      </c>
      <c r="EB34" t="s">
        <v>3</v>
      </c>
      <c r="EC34" t="s">
        <v>3</v>
      </c>
      <c r="EE34">
        <v>80196140</v>
      </c>
      <c r="EF34">
        <v>1</v>
      </c>
      <c r="EG34" t="s">
        <v>23</v>
      </c>
      <c r="EH34">
        <v>0</v>
      </c>
      <c r="EI34" t="s">
        <v>3</v>
      </c>
      <c r="EJ34">
        <v>4</v>
      </c>
      <c r="EK34">
        <v>0</v>
      </c>
      <c r="EL34" t="s">
        <v>24</v>
      </c>
      <c r="EM34" t="s">
        <v>25</v>
      </c>
      <c r="EO34" t="s">
        <v>3</v>
      </c>
      <c r="EQ34">
        <v>0</v>
      </c>
      <c r="ER34">
        <v>474.61</v>
      </c>
      <c r="ES34">
        <v>10.96</v>
      </c>
      <c r="ET34">
        <v>463.65</v>
      </c>
      <c r="EU34">
        <v>219.15</v>
      </c>
      <c r="EV34">
        <v>0</v>
      </c>
      <c r="EW34">
        <v>0</v>
      </c>
      <c r="EX34">
        <v>0</v>
      </c>
      <c r="EY34">
        <v>0</v>
      </c>
      <c r="FQ34">
        <v>0</v>
      </c>
      <c r="FR34"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-64890484</v>
      </c>
      <c r="GG34">
        <v>2</v>
      </c>
      <c r="GH34">
        <v>1</v>
      </c>
      <c r="GI34">
        <v>-2</v>
      </c>
      <c r="GJ34">
        <v>0</v>
      </c>
      <c r="GK34">
        <f>ROUND(R34*(R12)/100,2)</f>
        <v>3246743.11</v>
      </c>
      <c r="GL34">
        <f t="shared" si="52"/>
        <v>0</v>
      </c>
      <c r="GM34">
        <f t="shared" si="53"/>
        <v>9757321.6300000008</v>
      </c>
      <c r="GN34">
        <f t="shared" si="54"/>
        <v>0</v>
      </c>
      <c r="GO34">
        <f t="shared" si="55"/>
        <v>0</v>
      </c>
      <c r="GP34">
        <f t="shared" si="56"/>
        <v>9757321.6300000008</v>
      </c>
      <c r="GR34">
        <v>0</v>
      </c>
      <c r="GS34">
        <v>3</v>
      </c>
      <c r="GT34">
        <v>0</v>
      </c>
      <c r="GU34" t="s">
        <v>3</v>
      </c>
      <c r="GV34">
        <f t="shared" si="57"/>
        <v>0</v>
      </c>
      <c r="GW34">
        <v>1</v>
      </c>
      <c r="GX34">
        <f t="shared" si="58"/>
        <v>0</v>
      </c>
      <c r="HA34">
        <v>0</v>
      </c>
      <c r="HB34">
        <v>0</v>
      </c>
      <c r="HC34">
        <f t="shared" si="59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HS34">
        <v>0</v>
      </c>
      <c r="IK34">
        <v>0</v>
      </c>
    </row>
    <row r="35" spans="1:245" x14ac:dyDescent="0.25">
      <c r="A35">
        <v>18</v>
      </c>
      <c r="B35">
        <v>1</v>
      </c>
      <c r="C35">
        <v>4</v>
      </c>
      <c r="E35" t="s">
        <v>36</v>
      </c>
      <c r="F35" t="s">
        <v>37</v>
      </c>
      <c r="G35" t="s">
        <v>38</v>
      </c>
      <c r="H35" t="s">
        <v>39</v>
      </c>
      <c r="I35">
        <f>I34*J35</f>
        <v>-2743.548816</v>
      </c>
      <c r="J35">
        <v>-22.2</v>
      </c>
      <c r="K35">
        <v>-0.2</v>
      </c>
      <c r="O35">
        <f t="shared" si="28"/>
        <v>-150373.91</v>
      </c>
      <c r="P35">
        <f t="shared" si="29"/>
        <v>-150373.91</v>
      </c>
      <c r="Q35">
        <f t="shared" si="30"/>
        <v>0</v>
      </c>
      <c r="R35">
        <f t="shared" si="31"/>
        <v>0</v>
      </c>
      <c r="S35">
        <f t="shared" si="32"/>
        <v>0</v>
      </c>
      <c r="T35">
        <f t="shared" si="33"/>
        <v>0</v>
      </c>
      <c r="U35">
        <f t="shared" si="34"/>
        <v>0</v>
      </c>
      <c r="V35">
        <f t="shared" si="35"/>
        <v>0</v>
      </c>
      <c r="W35">
        <f t="shared" si="36"/>
        <v>0</v>
      </c>
      <c r="X35">
        <f t="shared" si="37"/>
        <v>0</v>
      </c>
      <c r="Y35">
        <f t="shared" si="38"/>
        <v>0</v>
      </c>
      <c r="AA35">
        <v>80889732</v>
      </c>
      <c r="AB35">
        <f t="shared" si="39"/>
        <v>54.81</v>
      </c>
      <c r="AC35">
        <f>ROUND((ES35),6)</f>
        <v>54.81</v>
      </c>
      <c r="AD35">
        <f>ROUND((((ET35)-(EU35))+AE35),6)</f>
        <v>0</v>
      </c>
      <c r="AE35">
        <f>ROUND((EU35),6)</f>
        <v>0</v>
      </c>
      <c r="AF35">
        <f>ROUND((EV35),6)</f>
        <v>0</v>
      </c>
      <c r="AG35">
        <f t="shared" si="40"/>
        <v>0</v>
      </c>
      <c r="AH35">
        <f>(EW35)</f>
        <v>0</v>
      </c>
      <c r="AI35">
        <f>(EX35)</f>
        <v>0</v>
      </c>
      <c r="AJ35">
        <f t="shared" si="41"/>
        <v>0</v>
      </c>
      <c r="AK35">
        <v>54.81</v>
      </c>
      <c r="AL35">
        <v>54.81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4</v>
      </c>
      <c r="BJ35" t="s">
        <v>40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1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2"/>
        <v>-150373.91</v>
      </c>
      <c r="CQ35">
        <f t="shared" si="43"/>
        <v>54.81</v>
      </c>
      <c r="CR35">
        <f>((((ET35)*BB35-(EU35)*BS35)+AE35*BS35)*AV35)</f>
        <v>0</v>
      </c>
      <c r="CS35">
        <f t="shared" si="44"/>
        <v>0</v>
      </c>
      <c r="CT35">
        <f t="shared" si="45"/>
        <v>0</v>
      </c>
      <c r="CU35">
        <f t="shared" si="46"/>
        <v>0</v>
      </c>
      <c r="CV35">
        <f t="shared" si="47"/>
        <v>0</v>
      </c>
      <c r="CW35">
        <f t="shared" si="48"/>
        <v>0</v>
      </c>
      <c r="CX35">
        <f t="shared" si="49"/>
        <v>0</v>
      </c>
      <c r="CY35">
        <f t="shared" si="50"/>
        <v>0</v>
      </c>
      <c r="CZ35">
        <f t="shared" si="51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1007</v>
      </c>
      <c r="DV35" t="s">
        <v>39</v>
      </c>
      <c r="DW35" t="s">
        <v>39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80196140</v>
      </c>
      <c r="EF35">
        <v>1</v>
      </c>
      <c r="EG35" t="s">
        <v>23</v>
      </c>
      <c r="EH35">
        <v>0</v>
      </c>
      <c r="EI35" t="s">
        <v>3</v>
      </c>
      <c r="EJ35">
        <v>4</v>
      </c>
      <c r="EK35">
        <v>0</v>
      </c>
      <c r="EL35" t="s">
        <v>24</v>
      </c>
      <c r="EM35" t="s">
        <v>25</v>
      </c>
      <c r="EO35" t="s">
        <v>3</v>
      </c>
      <c r="EQ35">
        <v>0</v>
      </c>
      <c r="ER35">
        <v>54.81</v>
      </c>
      <c r="ES35">
        <v>54.81</v>
      </c>
      <c r="ET35">
        <v>0</v>
      </c>
      <c r="EU35">
        <v>0</v>
      </c>
      <c r="EV35">
        <v>0</v>
      </c>
      <c r="EW35">
        <v>0</v>
      </c>
      <c r="EX35">
        <v>0</v>
      </c>
      <c r="FQ35">
        <v>0</v>
      </c>
      <c r="FR35"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2112060389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52"/>
        <v>0</v>
      </c>
      <c r="GM35">
        <f t="shared" si="53"/>
        <v>-150373.91</v>
      </c>
      <c r="GN35">
        <f t="shared" si="54"/>
        <v>0</v>
      </c>
      <c r="GO35">
        <f t="shared" si="55"/>
        <v>0</v>
      </c>
      <c r="GP35">
        <f t="shared" si="56"/>
        <v>-150373.91</v>
      </c>
      <c r="GR35">
        <v>0</v>
      </c>
      <c r="GS35">
        <v>3</v>
      </c>
      <c r="GT35">
        <v>0</v>
      </c>
      <c r="GU35" t="s">
        <v>3</v>
      </c>
      <c r="GV35">
        <f t="shared" si="57"/>
        <v>0</v>
      </c>
      <c r="GW35">
        <v>1</v>
      </c>
      <c r="GX35">
        <f t="shared" si="58"/>
        <v>0</v>
      </c>
      <c r="HA35">
        <v>0</v>
      </c>
      <c r="HB35">
        <v>0</v>
      </c>
      <c r="HC35">
        <f t="shared" si="59"/>
        <v>0</v>
      </c>
      <c r="HE35" t="s">
        <v>3</v>
      </c>
      <c r="HF35" t="s">
        <v>3</v>
      </c>
      <c r="HM35" t="s">
        <v>35</v>
      </c>
      <c r="HN35" t="s">
        <v>3</v>
      </c>
      <c r="HO35" t="s">
        <v>3</v>
      </c>
      <c r="HP35" t="s">
        <v>3</v>
      </c>
      <c r="HQ35" t="s">
        <v>3</v>
      </c>
      <c r="HS35">
        <v>0</v>
      </c>
      <c r="IK35">
        <v>0</v>
      </c>
    </row>
    <row r="36" spans="1:245" x14ac:dyDescent="0.25">
      <c r="A36">
        <v>17</v>
      </c>
      <c r="B36">
        <v>1</v>
      </c>
      <c r="C36">
        <f>ROW(SmtRes!A5)</f>
        <v>5</v>
      </c>
      <c r="D36">
        <f>ROW(EtalonRes!A5)</f>
        <v>5</v>
      </c>
      <c r="E36" t="s">
        <v>41</v>
      </c>
      <c r="F36" t="s">
        <v>42</v>
      </c>
      <c r="G36" t="s">
        <v>43</v>
      </c>
      <c r="H36" t="s">
        <v>29</v>
      </c>
      <c r="I36">
        <v>308.95819999999998</v>
      </c>
      <c r="J36">
        <v>0</v>
      </c>
      <c r="K36">
        <v>308.95819999999998</v>
      </c>
      <c r="O36">
        <f t="shared" si="28"/>
        <v>2175634.21</v>
      </c>
      <c r="P36">
        <f t="shared" si="29"/>
        <v>0</v>
      </c>
      <c r="Q36">
        <f t="shared" si="30"/>
        <v>0</v>
      </c>
      <c r="R36">
        <f t="shared" si="31"/>
        <v>0</v>
      </c>
      <c r="S36">
        <f t="shared" si="32"/>
        <v>2175634.21</v>
      </c>
      <c r="T36">
        <f t="shared" si="33"/>
        <v>0</v>
      </c>
      <c r="U36">
        <f t="shared" si="34"/>
        <v>4801.2104280000003</v>
      </c>
      <c r="V36">
        <f t="shared" si="35"/>
        <v>0</v>
      </c>
      <c r="W36">
        <f t="shared" si="36"/>
        <v>0</v>
      </c>
      <c r="X36">
        <f t="shared" si="37"/>
        <v>1522943.95</v>
      </c>
      <c r="Y36">
        <f t="shared" si="38"/>
        <v>217563.42</v>
      </c>
      <c r="AA36">
        <v>80889732</v>
      </c>
      <c r="AB36">
        <f t="shared" si="39"/>
        <v>7041.84</v>
      </c>
      <c r="AC36">
        <f>ROUND(((ES36*11)),6)</f>
        <v>0</v>
      </c>
      <c r="AD36">
        <f>ROUND(((((ET36*111))-((EU36*111)))+AE36),6)</f>
        <v>0</v>
      </c>
      <c r="AE36">
        <f>ROUND(((EU36*111)),6)</f>
        <v>0</v>
      </c>
      <c r="AF36">
        <f>ROUND(((EV36*111)),6)</f>
        <v>7041.84</v>
      </c>
      <c r="AG36">
        <f t="shared" si="40"/>
        <v>0</v>
      </c>
      <c r="AH36">
        <f>((EW36*111))</f>
        <v>15.540000000000001</v>
      </c>
      <c r="AI36">
        <f>((EX36*111))</f>
        <v>0</v>
      </c>
      <c r="AJ36">
        <f t="shared" si="41"/>
        <v>0</v>
      </c>
      <c r="AK36">
        <v>63.44</v>
      </c>
      <c r="AL36">
        <v>0</v>
      </c>
      <c r="AM36">
        <v>0</v>
      </c>
      <c r="AN36">
        <v>0</v>
      </c>
      <c r="AO36">
        <v>63.44</v>
      </c>
      <c r="AP36">
        <v>0</v>
      </c>
      <c r="AQ36">
        <v>0.14000000000000001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44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2"/>
        <v>2175634.21</v>
      </c>
      <c r="CQ36">
        <f t="shared" si="43"/>
        <v>0</v>
      </c>
      <c r="CR36">
        <f>(((((ET36*111))*BB36-((EU36*111))*BS36)+AE36*BS36)*AV36)</f>
        <v>0</v>
      </c>
      <c r="CS36">
        <f t="shared" si="44"/>
        <v>0</v>
      </c>
      <c r="CT36">
        <f t="shared" si="45"/>
        <v>7041.84</v>
      </c>
      <c r="CU36">
        <f t="shared" si="46"/>
        <v>0</v>
      </c>
      <c r="CV36">
        <f t="shared" si="47"/>
        <v>15.540000000000001</v>
      </c>
      <c r="CW36">
        <f t="shared" si="48"/>
        <v>0</v>
      </c>
      <c r="CX36">
        <f t="shared" si="49"/>
        <v>0</v>
      </c>
      <c r="CY36">
        <f t="shared" si="50"/>
        <v>1522943.9469999999</v>
      </c>
      <c r="CZ36">
        <f t="shared" si="51"/>
        <v>217563.421</v>
      </c>
      <c r="DC36" t="s">
        <v>3</v>
      </c>
      <c r="DD36" t="s">
        <v>45</v>
      </c>
      <c r="DE36" t="s">
        <v>35</v>
      </c>
      <c r="DF36" t="s">
        <v>35</v>
      </c>
      <c r="DG36" t="s">
        <v>35</v>
      </c>
      <c r="DH36" t="s">
        <v>3</v>
      </c>
      <c r="DI36" t="s">
        <v>35</v>
      </c>
      <c r="DJ36" t="s">
        <v>35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1005</v>
      </c>
      <c r="DV36" t="s">
        <v>29</v>
      </c>
      <c r="DW36" t="s">
        <v>29</v>
      </c>
      <c r="DX36">
        <v>100</v>
      </c>
      <c r="DZ36" t="s">
        <v>3</v>
      </c>
      <c r="EA36" t="s">
        <v>3</v>
      </c>
      <c r="EB36" t="s">
        <v>3</v>
      </c>
      <c r="EC36" t="s">
        <v>3</v>
      </c>
      <c r="EE36">
        <v>80196140</v>
      </c>
      <c r="EF36">
        <v>1</v>
      </c>
      <c r="EG36" t="s">
        <v>23</v>
      </c>
      <c r="EH36">
        <v>0</v>
      </c>
      <c r="EI36" t="s">
        <v>3</v>
      </c>
      <c r="EJ36">
        <v>4</v>
      </c>
      <c r="EK36">
        <v>0</v>
      </c>
      <c r="EL36" t="s">
        <v>24</v>
      </c>
      <c r="EM36" t="s">
        <v>25</v>
      </c>
      <c r="EO36" t="s">
        <v>3</v>
      </c>
      <c r="EQ36">
        <v>0</v>
      </c>
      <c r="ER36">
        <v>63.44</v>
      </c>
      <c r="ES36">
        <v>0</v>
      </c>
      <c r="ET36">
        <v>0</v>
      </c>
      <c r="EU36">
        <v>0</v>
      </c>
      <c r="EV36">
        <v>63.44</v>
      </c>
      <c r="EW36">
        <v>0.14000000000000001</v>
      </c>
      <c r="EX36">
        <v>0</v>
      </c>
      <c r="EY36">
        <v>0</v>
      </c>
      <c r="FQ36">
        <v>0</v>
      </c>
      <c r="FR36"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-502436687</v>
      </c>
      <c r="GG36">
        <v>2</v>
      </c>
      <c r="GH36">
        <v>1</v>
      </c>
      <c r="GI36">
        <v>-2</v>
      </c>
      <c r="GJ36">
        <v>0</v>
      </c>
      <c r="GK36">
        <f>ROUND(R36*(R12)/100,2)</f>
        <v>0</v>
      </c>
      <c r="GL36">
        <f t="shared" si="52"/>
        <v>0</v>
      </c>
      <c r="GM36">
        <f t="shared" si="53"/>
        <v>3916141.58</v>
      </c>
      <c r="GN36">
        <f t="shared" si="54"/>
        <v>0</v>
      </c>
      <c r="GO36">
        <f t="shared" si="55"/>
        <v>0</v>
      </c>
      <c r="GP36">
        <f t="shared" si="56"/>
        <v>3916141.58</v>
      </c>
      <c r="GR36">
        <v>0</v>
      </c>
      <c r="GS36">
        <v>3</v>
      </c>
      <c r="GT36">
        <v>0</v>
      </c>
      <c r="GU36" t="s">
        <v>3</v>
      </c>
      <c r="GV36">
        <f t="shared" si="57"/>
        <v>0</v>
      </c>
      <c r="GW36">
        <v>1</v>
      </c>
      <c r="GX36">
        <f t="shared" si="58"/>
        <v>0</v>
      </c>
      <c r="HA36">
        <v>0</v>
      </c>
      <c r="HB36">
        <v>0</v>
      </c>
      <c r="HC36">
        <f t="shared" si="59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HS36">
        <v>0</v>
      </c>
      <c r="IK36">
        <v>0</v>
      </c>
    </row>
    <row r="37" spans="1:245" x14ac:dyDescent="0.25">
      <c r="A37">
        <v>17</v>
      </c>
      <c r="B37">
        <v>1</v>
      </c>
      <c r="C37">
        <f>ROW(SmtRes!A6)</f>
        <v>6</v>
      </c>
      <c r="D37">
        <f>ROW(EtalonRes!A6)</f>
        <v>6</v>
      </c>
      <c r="E37" t="s">
        <v>46</v>
      </c>
      <c r="F37" t="s">
        <v>47</v>
      </c>
      <c r="G37" t="s">
        <v>48</v>
      </c>
      <c r="H37" t="s">
        <v>29</v>
      </c>
      <c r="I37">
        <v>60.811999999999998</v>
      </c>
      <c r="J37">
        <v>0</v>
      </c>
      <c r="K37">
        <v>60.811999999999998</v>
      </c>
      <c r="O37">
        <f t="shared" si="28"/>
        <v>363731.78</v>
      </c>
      <c r="P37">
        <f t="shared" si="29"/>
        <v>0</v>
      </c>
      <c r="Q37">
        <f t="shared" si="30"/>
        <v>0</v>
      </c>
      <c r="R37">
        <f t="shared" si="31"/>
        <v>0</v>
      </c>
      <c r="S37">
        <f t="shared" si="32"/>
        <v>363731.78</v>
      </c>
      <c r="T37">
        <f t="shared" si="33"/>
        <v>0</v>
      </c>
      <c r="U37">
        <f t="shared" si="34"/>
        <v>802.71839999999997</v>
      </c>
      <c r="V37">
        <f t="shared" si="35"/>
        <v>0</v>
      </c>
      <c r="W37">
        <f t="shared" si="36"/>
        <v>0</v>
      </c>
      <c r="X37">
        <f t="shared" si="37"/>
        <v>254612.25</v>
      </c>
      <c r="Y37">
        <f t="shared" si="38"/>
        <v>36373.18</v>
      </c>
      <c r="AA37">
        <v>80889732</v>
      </c>
      <c r="AB37">
        <f t="shared" si="39"/>
        <v>5981.25</v>
      </c>
      <c r="AC37">
        <f>ROUND(((ES37*55)),6)</f>
        <v>0</v>
      </c>
      <c r="AD37">
        <f>ROUND(((((ET37*55))-((EU37*55)))+AE37),6)</f>
        <v>0</v>
      </c>
      <c r="AE37">
        <f t="shared" ref="AE37:AF39" si="60">ROUND(((EU37*55)),6)</f>
        <v>0</v>
      </c>
      <c r="AF37">
        <f t="shared" si="60"/>
        <v>5981.25</v>
      </c>
      <c r="AG37">
        <f t="shared" si="40"/>
        <v>0</v>
      </c>
      <c r="AH37">
        <f t="shared" ref="AH37:AI39" si="61">((EW37*55))</f>
        <v>13.2</v>
      </c>
      <c r="AI37">
        <f t="shared" si="61"/>
        <v>0</v>
      </c>
      <c r="AJ37">
        <f t="shared" si="41"/>
        <v>0</v>
      </c>
      <c r="AK37">
        <v>108.75</v>
      </c>
      <c r="AL37">
        <v>0</v>
      </c>
      <c r="AM37">
        <v>0</v>
      </c>
      <c r="AN37">
        <v>0</v>
      </c>
      <c r="AO37">
        <v>108.75</v>
      </c>
      <c r="AP37">
        <v>0</v>
      </c>
      <c r="AQ37">
        <v>0.24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49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2"/>
        <v>363731.78</v>
      </c>
      <c r="CQ37">
        <f t="shared" si="43"/>
        <v>0</v>
      </c>
      <c r="CR37">
        <f>(((((ET37*55))*BB37-((EU37*55))*BS37)+AE37*BS37)*AV37)</f>
        <v>0</v>
      </c>
      <c r="CS37">
        <f t="shared" si="44"/>
        <v>0</v>
      </c>
      <c r="CT37">
        <f t="shared" si="45"/>
        <v>5981.25</v>
      </c>
      <c r="CU37">
        <f t="shared" si="46"/>
        <v>0</v>
      </c>
      <c r="CV37">
        <f t="shared" si="47"/>
        <v>13.2</v>
      </c>
      <c r="CW37">
        <f t="shared" si="48"/>
        <v>0</v>
      </c>
      <c r="CX37">
        <f t="shared" si="49"/>
        <v>0</v>
      </c>
      <c r="CY37">
        <f t="shared" si="50"/>
        <v>254612.24600000001</v>
      </c>
      <c r="CZ37">
        <f t="shared" si="51"/>
        <v>36373.178</v>
      </c>
      <c r="DC37" t="s">
        <v>3</v>
      </c>
      <c r="DD37" t="s">
        <v>22</v>
      </c>
      <c r="DE37" t="s">
        <v>22</v>
      </c>
      <c r="DF37" t="s">
        <v>22</v>
      </c>
      <c r="DG37" t="s">
        <v>22</v>
      </c>
      <c r="DH37" t="s">
        <v>3</v>
      </c>
      <c r="DI37" t="s">
        <v>22</v>
      </c>
      <c r="DJ37" t="s">
        <v>22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1005</v>
      </c>
      <c r="DV37" t="s">
        <v>29</v>
      </c>
      <c r="DW37" t="s">
        <v>29</v>
      </c>
      <c r="DX37">
        <v>100</v>
      </c>
      <c r="DZ37" t="s">
        <v>3</v>
      </c>
      <c r="EA37" t="s">
        <v>3</v>
      </c>
      <c r="EB37" t="s">
        <v>3</v>
      </c>
      <c r="EC37" t="s">
        <v>3</v>
      </c>
      <c r="EE37">
        <v>80196140</v>
      </c>
      <c r="EF37">
        <v>1</v>
      </c>
      <c r="EG37" t="s">
        <v>23</v>
      </c>
      <c r="EH37">
        <v>0</v>
      </c>
      <c r="EI37" t="s">
        <v>3</v>
      </c>
      <c r="EJ37">
        <v>4</v>
      </c>
      <c r="EK37">
        <v>0</v>
      </c>
      <c r="EL37" t="s">
        <v>24</v>
      </c>
      <c r="EM37" t="s">
        <v>25</v>
      </c>
      <c r="EO37" t="s">
        <v>3</v>
      </c>
      <c r="EQ37">
        <v>0</v>
      </c>
      <c r="ER37">
        <v>108.75</v>
      </c>
      <c r="ES37">
        <v>0</v>
      </c>
      <c r="ET37">
        <v>0</v>
      </c>
      <c r="EU37">
        <v>0</v>
      </c>
      <c r="EV37">
        <v>108.75</v>
      </c>
      <c r="EW37">
        <v>0.24</v>
      </c>
      <c r="EX37">
        <v>0</v>
      </c>
      <c r="EY37">
        <v>0</v>
      </c>
      <c r="FQ37">
        <v>0</v>
      </c>
      <c r="FR37"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-2145585580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52"/>
        <v>0</v>
      </c>
      <c r="GM37">
        <f t="shared" si="53"/>
        <v>654717.21</v>
      </c>
      <c r="GN37">
        <f t="shared" si="54"/>
        <v>0</v>
      </c>
      <c r="GO37">
        <f t="shared" si="55"/>
        <v>0</v>
      </c>
      <c r="GP37">
        <f t="shared" si="56"/>
        <v>654717.21</v>
      </c>
      <c r="GR37">
        <v>0</v>
      </c>
      <c r="GS37">
        <v>3</v>
      </c>
      <c r="GT37">
        <v>0</v>
      </c>
      <c r="GU37" t="s">
        <v>3</v>
      </c>
      <c r="GV37">
        <f t="shared" si="57"/>
        <v>0</v>
      </c>
      <c r="GW37">
        <v>1</v>
      </c>
      <c r="GX37">
        <f t="shared" si="58"/>
        <v>0</v>
      </c>
      <c r="HA37">
        <v>0</v>
      </c>
      <c r="HB37">
        <v>0</v>
      </c>
      <c r="HC37">
        <f t="shared" si="59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HS37">
        <v>0</v>
      </c>
      <c r="IK37">
        <v>0</v>
      </c>
    </row>
    <row r="38" spans="1:245" x14ac:dyDescent="0.25">
      <c r="A38">
        <v>17</v>
      </c>
      <c r="B38">
        <v>1</v>
      </c>
      <c r="C38">
        <f>ROW(SmtRes!A7)</f>
        <v>7</v>
      </c>
      <c r="D38">
        <f>ROW(EtalonRes!A7)</f>
        <v>7</v>
      </c>
      <c r="E38" t="s">
        <v>50</v>
      </c>
      <c r="F38" t="s">
        <v>51</v>
      </c>
      <c r="G38" t="s">
        <v>52</v>
      </c>
      <c r="H38" t="s">
        <v>29</v>
      </c>
      <c r="I38">
        <v>6.35</v>
      </c>
      <c r="J38">
        <v>0</v>
      </c>
      <c r="K38">
        <v>6.35</v>
      </c>
      <c r="O38">
        <f t="shared" si="28"/>
        <v>163005.45000000001</v>
      </c>
      <c r="P38">
        <f t="shared" si="29"/>
        <v>0</v>
      </c>
      <c r="Q38">
        <f t="shared" si="30"/>
        <v>0</v>
      </c>
      <c r="R38">
        <f t="shared" si="31"/>
        <v>0</v>
      </c>
      <c r="S38">
        <f t="shared" si="32"/>
        <v>163005.45000000001</v>
      </c>
      <c r="T38">
        <f t="shared" si="33"/>
        <v>0</v>
      </c>
      <c r="U38">
        <f t="shared" si="34"/>
        <v>359.72749999999996</v>
      </c>
      <c r="V38">
        <f t="shared" si="35"/>
        <v>0</v>
      </c>
      <c r="W38">
        <f t="shared" si="36"/>
        <v>0</v>
      </c>
      <c r="X38">
        <f t="shared" si="37"/>
        <v>114103.82</v>
      </c>
      <c r="Y38">
        <f t="shared" si="38"/>
        <v>16300.55</v>
      </c>
      <c r="AA38">
        <v>80889732</v>
      </c>
      <c r="AB38">
        <f t="shared" si="39"/>
        <v>25670.15</v>
      </c>
      <c r="AC38">
        <f>ROUND(((ES38*55)),6)</f>
        <v>0</v>
      </c>
      <c r="AD38">
        <f>ROUND(((((ET38*55))-((EU38*55)))+AE38),6)</f>
        <v>0</v>
      </c>
      <c r="AE38">
        <f t="shared" si="60"/>
        <v>0</v>
      </c>
      <c r="AF38">
        <f t="shared" si="60"/>
        <v>25670.15</v>
      </c>
      <c r="AG38">
        <f t="shared" si="40"/>
        <v>0</v>
      </c>
      <c r="AH38">
        <f t="shared" si="61"/>
        <v>56.65</v>
      </c>
      <c r="AI38">
        <f t="shared" si="61"/>
        <v>0</v>
      </c>
      <c r="AJ38">
        <f t="shared" si="41"/>
        <v>0</v>
      </c>
      <c r="AK38">
        <v>466.73</v>
      </c>
      <c r="AL38">
        <v>0</v>
      </c>
      <c r="AM38">
        <v>0</v>
      </c>
      <c r="AN38">
        <v>0</v>
      </c>
      <c r="AO38">
        <v>466.73</v>
      </c>
      <c r="AP38">
        <v>0</v>
      </c>
      <c r="AQ38">
        <v>1.03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53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2"/>
        <v>163005.45000000001</v>
      </c>
      <c r="CQ38">
        <f t="shared" si="43"/>
        <v>0</v>
      </c>
      <c r="CR38">
        <f>(((((ET38*55))*BB38-((EU38*55))*BS38)+AE38*BS38)*AV38)</f>
        <v>0</v>
      </c>
      <c r="CS38">
        <f t="shared" si="44"/>
        <v>0</v>
      </c>
      <c r="CT38">
        <f t="shared" si="45"/>
        <v>25670.15</v>
      </c>
      <c r="CU38">
        <f t="shared" si="46"/>
        <v>0</v>
      </c>
      <c r="CV38">
        <f t="shared" si="47"/>
        <v>56.65</v>
      </c>
      <c r="CW38">
        <f t="shared" si="48"/>
        <v>0</v>
      </c>
      <c r="CX38">
        <f t="shared" si="49"/>
        <v>0</v>
      </c>
      <c r="CY38">
        <f t="shared" si="50"/>
        <v>114103.815</v>
      </c>
      <c r="CZ38">
        <f t="shared" si="51"/>
        <v>16300.545</v>
      </c>
      <c r="DC38" t="s">
        <v>3</v>
      </c>
      <c r="DD38" t="s">
        <v>22</v>
      </c>
      <c r="DE38" t="s">
        <v>22</v>
      </c>
      <c r="DF38" t="s">
        <v>22</v>
      </c>
      <c r="DG38" t="s">
        <v>22</v>
      </c>
      <c r="DH38" t="s">
        <v>3</v>
      </c>
      <c r="DI38" t="s">
        <v>22</v>
      </c>
      <c r="DJ38" t="s">
        <v>22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1005</v>
      </c>
      <c r="DV38" t="s">
        <v>29</v>
      </c>
      <c r="DW38" t="s">
        <v>29</v>
      </c>
      <c r="DX38">
        <v>100</v>
      </c>
      <c r="DZ38" t="s">
        <v>3</v>
      </c>
      <c r="EA38" t="s">
        <v>3</v>
      </c>
      <c r="EB38" t="s">
        <v>3</v>
      </c>
      <c r="EC38" t="s">
        <v>3</v>
      </c>
      <c r="EE38">
        <v>80196140</v>
      </c>
      <c r="EF38">
        <v>1</v>
      </c>
      <c r="EG38" t="s">
        <v>23</v>
      </c>
      <c r="EH38">
        <v>0</v>
      </c>
      <c r="EI38" t="s">
        <v>3</v>
      </c>
      <c r="EJ38">
        <v>4</v>
      </c>
      <c r="EK38">
        <v>0</v>
      </c>
      <c r="EL38" t="s">
        <v>24</v>
      </c>
      <c r="EM38" t="s">
        <v>25</v>
      </c>
      <c r="EO38" t="s">
        <v>3</v>
      </c>
      <c r="EQ38">
        <v>0</v>
      </c>
      <c r="ER38">
        <v>466.73</v>
      </c>
      <c r="ES38">
        <v>0</v>
      </c>
      <c r="ET38">
        <v>0</v>
      </c>
      <c r="EU38">
        <v>0</v>
      </c>
      <c r="EV38">
        <v>466.73</v>
      </c>
      <c r="EW38">
        <v>1.03</v>
      </c>
      <c r="EX38">
        <v>0</v>
      </c>
      <c r="EY38">
        <v>0</v>
      </c>
      <c r="FQ38">
        <v>0</v>
      </c>
      <c r="FR38"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1108519225</v>
      </c>
      <c r="GG38">
        <v>2</v>
      </c>
      <c r="GH38">
        <v>1</v>
      </c>
      <c r="GI38">
        <v>-2</v>
      </c>
      <c r="GJ38">
        <v>0</v>
      </c>
      <c r="GK38">
        <f>ROUND(R38*(R12)/100,2)</f>
        <v>0</v>
      </c>
      <c r="GL38">
        <f t="shared" si="52"/>
        <v>0</v>
      </c>
      <c r="GM38">
        <f t="shared" si="53"/>
        <v>293409.82</v>
      </c>
      <c r="GN38">
        <f t="shared" si="54"/>
        <v>0</v>
      </c>
      <c r="GO38">
        <f t="shared" si="55"/>
        <v>0</v>
      </c>
      <c r="GP38">
        <f t="shared" si="56"/>
        <v>293409.82</v>
      </c>
      <c r="GR38">
        <v>0</v>
      </c>
      <c r="GS38">
        <v>3</v>
      </c>
      <c r="GT38">
        <v>0</v>
      </c>
      <c r="GU38" t="s">
        <v>3</v>
      </c>
      <c r="GV38">
        <f t="shared" si="57"/>
        <v>0</v>
      </c>
      <c r="GW38">
        <v>1</v>
      </c>
      <c r="GX38">
        <f t="shared" si="58"/>
        <v>0</v>
      </c>
      <c r="HA38">
        <v>0</v>
      </c>
      <c r="HB38">
        <v>0</v>
      </c>
      <c r="HC38">
        <f t="shared" si="59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HS38">
        <v>0</v>
      </c>
      <c r="IK38">
        <v>0</v>
      </c>
    </row>
    <row r="39" spans="1:245" x14ac:dyDescent="0.25">
      <c r="A39">
        <v>17</v>
      </c>
      <c r="B39">
        <v>1</v>
      </c>
      <c r="C39">
        <f>ROW(SmtRes!A8)</f>
        <v>8</v>
      </c>
      <c r="D39">
        <f>ROW(EtalonRes!A8)</f>
        <v>8</v>
      </c>
      <c r="E39" t="s">
        <v>54</v>
      </c>
      <c r="F39" t="s">
        <v>55</v>
      </c>
      <c r="G39" t="s">
        <v>56</v>
      </c>
      <c r="H39" t="s">
        <v>57</v>
      </c>
      <c r="I39">
        <v>33.409999999999997</v>
      </c>
      <c r="J39">
        <v>0</v>
      </c>
      <c r="K39">
        <v>33.409999999999997</v>
      </c>
      <c r="O39">
        <f t="shared" si="28"/>
        <v>3172456.57</v>
      </c>
      <c r="P39">
        <f t="shared" si="29"/>
        <v>0</v>
      </c>
      <c r="Q39">
        <f t="shared" si="30"/>
        <v>0</v>
      </c>
      <c r="R39">
        <f t="shared" si="31"/>
        <v>0</v>
      </c>
      <c r="S39">
        <f t="shared" si="32"/>
        <v>3172456.57</v>
      </c>
      <c r="T39">
        <f t="shared" si="33"/>
        <v>0</v>
      </c>
      <c r="U39">
        <f t="shared" si="34"/>
        <v>7001.0654999999997</v>
      </c>
      <c r="V39">
        <f t="shared" si="35"/>
        <v>0</v>
      </c>
      <c r="W39">
        <f t="shared" si="36"/>
        <v>0</v>
      </c>
      <c r="X39">
        <f t="shared" si="37"/>
        <v>2220719.6</v>
      </c>
      <c r="Y39">
        <f t="shared" si="38"/>
        <v>317245.65999999997</v>
      </c>
      <c r="AA39">
        <v>80889732</v>
      </c>
      <c r="AB39">
        <f t="shared" si="39"/>
        <v>94955.3</v>
      </c>
      <c r="AC39">
        <f>ROUND(((ES39*55)),6)</f>
        <v>0</v>
      </c>
      <c r="AD39">
        <f>ROUND(((((ET39*55))-((EU39*55)))+AE39),6)</f>
        <v>0</v>
      </c>
      <c r="AE39">
        <f t="shared" si="60"/>
        <v>0</v>
      </c>
      <c r="AF39">
        <f t="shared" si="60"/>
        <v>94955.3</v>
      </c>
      <c r="AG39">
        <f t="shared" si="40"/>
        <v>0</v>
      </c>
      <c r="AH39">
        <f t="shared" si="61"/>
        <v>209.55</v>
      </c>
      <c r="AI39">
        <f t="shared" si="61"/>
        <v>0</v>
      </c>
      <c r="AJ39">
        <f t="shared" si="41"/>
        <v>0</v>
      </c>
      <c r="AK39">
        <v>1726.46</v>
      </c>
      <c r="AL39">
        <v>0</v>
      </c>
      <c r="AM39">
        <v>0</v>
      </c>
      <c r="AN39">
        <v>0</v>
      </c>
      <c r="AO39">
        <v>1726.46</v>
      </c>
      <c r="AP39">
        <v>0</v>
      </c>
      <c r="AQ39">
        <v>3.81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58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2"/>
        <v>3172456.57</v>
      </c>
      <c r="CQ39">
        <f t="shared" si="43"/>
        <v>0</v>
      </c>
      <c r="CR39">
        <f>(((((ET39*55))*BB39-((EU39*55))*BS39)+AE39*BS39)*AV39)</f>
        <v>0</v>
      </c>
      <c r="CS39">
        <f t="shared" si="44"/>
        <v>0</v>
      </c>
      <c r="CT39">
        <f t="shared" si="45"/>
        <v>94955.3</v>
      </c>
      <c r="CU39">
        <f t="shared" si="46"/>
        <v>0</v>
      </c>
      <c r="CV39">
        <f t="shared" si="47"/>
        <v>209.55</v>
      </c>
      <c r="CW39">
        <f t="shared" si="48"/>
        <v>0</v>
      </c>
      <c r="CX39">
        <f t="shared" si="49"/>
        <v>0</v>
      </c>
      <c r="CY39">
        <f t="shared" si="50"/>
        <v>2220719.5989999999</v>
      </c>
      <c r="CZ39">
        <f t="shared" si="51"/>
        <v>317245.65700000001</v>
      </c>
      <c r="DC39" t="s">
        <v>3</v>
      </c>
      <c r="DD39" t="s">
        <v>22</v>
      </c>
      <c r="DE39" t="s">
        <v>22</v>
      </c>
      <c r="DF39" t="s">
        <v>22</v>
      </c>
      <c r="DG39" t="s">
        <v>22</v>
      </c>
      <c r="DH39" t="s">
        <v>3</v>
      </c>
      <c r="DI39" t="s">
        <v>22</v>
      </c>
      <c r="DJ39" t="s">
        <v>22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1013</v>
      </c>
      <c r="DV39" t="s">
        <v>57</v>
      </c>
      <c r="DW39" t="s">
        <v>57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80196140</v>
      </c>
      <c r="EF39">
        <v>1</v>
      </c>
      <c r="EG39" t="s">
        <v>23</v>
      </c>
      <c r="EH39">
        <v>0</v>
      </c>
      <c r="EI39" t="s">
        <v>3</v>
      </c>
      <c r="EJ39">
        <v>4</v>
      </c>
      <c r="EK39">
        <v>0</v>
      </c>
      <c r="EL39" t="s">
        <v>24</v>
      </c>
      <c r="EM39" t="s">
        <v>25</v>
      </c>
      <c r="EO39" t="s">
        <v>3</v>
      </c>
      <c r="EQ39">
        <v>0</v>
      </c>
      <c r="ER39">
        <v>1726.46</v>
      </c>
      <c r="ES39">
        <v>0</v>
      </c>
      <c r="ET39">
        <v>0</v>
      </c>
      <c r="EU39">
        <v>0</v>
      </c>
      <c r="EV39">
        <v>1726.46</v>
      </c>
      <c r="EW39">
        <v>3.81</v>
      </c>
      <c r="EX39">
        <v>0</v>
      </c>
      <c r="EY39">
        <v>0</v>
      </c>
      <c r="FQ39">
        <v>0</v>
      </c>
      <c r="FR39"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-1160174760</v>
      </c>
      <c r="GG39">
        <v>2</v>
      </c>
      <c r="GH39">
        <v>1</v>
      </c>
      <c r="GI39">
        <v>-2</v>
      </c>
      <c r="GJ39">
        <v>0</v>
      </c>
      <c r="GK39">
        <f>ROUND(R39*(R12)/100,2)</f>
        <v>0</v>
      </c>
      <c r="GL39">
        <f t="shared" si="52"/>
        <v>0</v>
      </c>
      <c r="GM39">
        <f t="shared" si="53"/>
        <v>5710421.8300000001</v>
      </c>
      <c r="GN39">
        <f t="shared" si="54"/>
        <v>0</v>
      </c>
      <c r="GO39">
        <f t="shared" si="55"/>
        <v>0</v>
      </c>
      <c r="GP39">
        <f t="shared" si="56"/>
        <v>5710421.8300000001</v>
      </c>
      <c r="GR39">
        <v>0</v>
      </c>
      <c r="GS39">
        <v>3</v>
      </c>
      <c r="GT39">
        <v>0</v>
      </c>
      <c r="GU39" t="s">
        <v>3</v>
      </c>
      <c r="GV39">
        <f t="shared" si="57"/>
        <v>0</v>
      </c>
      <c r="GW39">
        <v>1</v>
      </c>
      <c r="GX39">
        <f t="shared" si="58"/>
        <v>0</v>
      </c>
      <c r="HA39">
        <v>0</v>
      </c>
      <c r="HB39">
        <v>0</v>
      </c>
      <c r="HC39">
        <f t="shared" si="59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HS39">
        <v>0</v>
      </c>
      <c r="IK39">
        <v>0</v>
      </c>
    </row>
    <row r="40" spans="1:245" x14ac:dyDescent="0.25">
      <c r="A40">
        <v>17</v>
      </c>
      <c r="B40">
        <v>1</v>
      </c>
      <c r="C40">
        <f>ROW(SmtRes!A10)</f>
        <v>10</v>
      </c>
      <c r="D40">
        <f>ROW(EtalonRes!A10)</f>
        <v>10</v>
      </c>
      <c r="E40" t="s">
        <v>59</v>
      </c>
      <c r="F40" t="s">
        <v>60</v>
      </c>
      <c r="G40" t="s">
        <v>61</v>
      </c>
      <c r="H40" t="s">
        <v>29</v>
      </c>
      <c r="I40">
        <v>308.95819999999998</v>
      </c>
      <c r="J40">
        <v>0</v>
      </c>
      <c r="K40">
        <v>308.95819999999998</v>
      </c>
      <c r="O40">
        <f t="shared" si="28"/>
        <v>4208628.6100000003</v>
      </c>
      <c r="P40">
        <f t="shared" si="29"/>
        <v>2108639.7200000002</v>
      </c>
      <c r="Q40">
        <f t="shared" si="30"/>
        <v>0</v>
      </c>
      <c r="R40">
        <f t="shared" si="31"/>
        <v>0</v>
      </c>
      <c r="S40">
        <f t="shared" si="32"/>
        <v>2099988.89</v>
      </c>
      <c r="T40">
        <f t="shared" si="33"/>
        <v>0</v>
      </c>
      <c r="U40">
        <f t="shared" si="34"/>
        <v>4634.3729999999996</v>
      </c>
      <c r="V40">
        <f t="shared" si="35"/>
        <v>0</v>
      </c>
      <c r="W40">
        <f t="shared" si="36"/>
        <v>0</v>
      </c>
      <c r="X40">
        <f t="shared" si="37"/>
        <v>1469992.22</v>
      </c>
      <c r="Y40">
        <f t="shared" si="38"/>
        <v>209998.89</v>
      </c>
      <c r="AA40">
        <v>80889732</v>
      </c>
      <c r="AB40">
        <f t="shared" si="39"/>
        <v>13622</v>
      </c>
      <c r="AC40">
        <f>ROUND(((ES40*50)),6)</f>
        <v>6825</v>
      </c>
      <c r="AD40">
        <f>ROUND(((((ET40*50))-((EU40*50)))+AE40),6)</f>
        <v>0</v>
      </c>
      <c r="AE40">
        <f>ROUND(((EU40*50)),6)</f>
        <v>0</v>
      </c>
      <c r="AF40">
        <f>ROUND(((EV40*50)),6)</f>
        <v>6797</v>
      </c>
      <c r="AG40">
        <f t="shared" si="40"/>
        <v>0</v>
      </c>
      <c r="AH40">
        <f>((EW40*50))</f>
        <v>15</v>
      </c>
      <c r="AI40">
        <f>((EX40*50))</f>
        <v>0</v>
      </c>
      <c r="AJ40">
        <f t="shared" si="41"/>
        <v>0</v>
      </c>
      <c r="AK40">
        <v>272.44</v>
      </c>
      <c r="AL40">
        <v>136.5</v>
      </c>
      <c r="AM40">
        <v>0</v>
      </c>
      <c r="AN40">
        <v>0</v>
      </c>
      <c r="AO40">
        <v>135.94</v>
      </c>
      <c r="AP40">
        <v>0</v>
      </c>
      <c r="AQ40">
        <v>0.3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62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2"/>
        <v>4208628.6100000003</v>
      </c>
      <c r="CQ40">
        <f t="shared" si="43"/>
        <v>6825</v>
      </c>
      <c r="CR40">
        <f>(((((ET40*50))*BB40-((EU40*50))*BS40)+AE40*BS40)*AV40)</f>
        <v>0</v>
      </c>
      <c r="CS40">
        <f t="shared" si="44"/>
        <v>0</v>
      </c>
      <c r="CT40">
        <f t="shared" si="45"/>
        <v>6797</v>
      </c>
      <c r="CU40">
        <f t="shared" si="46"/>
        <v>0</v>
      </c>
      <c r="CV40">
        <f t="shared" si="47"/>
        <v>15</v>
      </c>
      <c r="CW40">
        <f t="shared" si="48"/>
        <v>0</v>
      </c>
      <c r="CX40">
        <f t="shared" si="49"/>
        <v>0</v>
      </c>
      <c r="CY40">
        <f t="shared" si="50"/>
        <v>1469992.2230000002</v>
      </c>
      <c r="CZ40">
        <f t="shared" si="51"/>
        <v>209998.88900000002</v>
      </c>
      <c r="DC40" t="s">
        <v>3</v>
      </c>
      <c r="DD40" t="s">
        <v>63</v>
      </c>
      <c r="DE40" t="s">
        <v>63</v>
      </c>
      <c r="DF40" t="s">
        <v>63</v>
      </c>
      <c r="DG40" t="s">
        <v>63</v>
      </c>
      <c r="DH40" t="s">
        <v>3</v>
      </c>
      <c r="DI40" t="s">
        <v>63</v>
      </c>
      <c r="DJ40" t="s">
        <v>63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1005</v>
      </c>
      <c r="DV40" t="s">
        <v>29</v>
      </c>
      <c r="DW40" t="s">
        <v>29</v>
      </c>
      <c r="DX40">
        <v>100</v>
      </c>
      <c r="DZ40" t="s">
        <v>3</v>
      </c>
      <c r="EA40" t="s">
        <v>3</v>
      </c>
      <c r="EB40" t="s">
        <v>3</v>
      </c>
      <c r="EC40" t="s">
        <v>3</v>
      </c>
      <c r="EE40">
        <v>80196140</v>
      </c>
      <c r="EF40">
        <v>1</v>
      </c>
      <c r="EG40" t="s">
        <v>23</v>
      </c>
      <c r="EH40">
        <v>0</v>
      </c>
      <c r="EI40" t="s">
        <v>3</v>
      </c>
      <c r="EJ40">
        <v>4</v>
      </c>
      <c r="EK40">
        <v>0</v>
      </c>
      <c r="EL40" t="s">
        <v>24</v>
      </c>
      <c r="EM40" t="s">
        <v>25</v>
      </c>
      <c r="EO40" t="s">
        <v>3</v>
      </c>
      <c r="EQ40">
        <v>0</v>
      </c>
      <c r="ER40">
        <v>272.44</v>
      </c>
      <c r="ES40">
        <v>136.5</v>
      </c>
      <c r="ET40">
        <v>0</v>
      </c>
      <c r="EU40">
        <v>0</v>
      </c>
      <c r="EV40">
        <v>135.94</v>
      </c>
      <c r="EW40">
        <v>0.3</v>
      </c>
      <c r="EX40">
        <v>0</v>
      </c>
      <c r="EY40">
        <v>0</v>
      </c>
      <c r="FQ40">
        <v>0</v>
      </c>
      <c r="FR40"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-722105518</v>
      </c>
      <c r="GG40">
        <v>2</v>
      </c>
      <c r="GH40">
        <v>1</v>
      </c>
      <c r="GI40">
        <v>-2</v>
      </c>
      <c r="GJ40">
        <v>0</v>
      </c>
      <c r="GK40">
        <f>ROUND(R40*(R12)/100,2)</f>
        <v>0</v>
      </c>
      <c r="GL40">
        <f t="shared" si="52"/>
        <v>0</v>
      </c>
      <c r="GM40">
        <f t="shared" si="53"/>
        <v>5888619.7199999997</v>
      </c>
      <c r="GN40">
        <f t="shared" si="54"/>
        <v>0</v>
      </c>
      <c r="GO40">
        <f t="shared" si="55"/>
        <v>0</v>
      </c>
      <c r="GP40">
        <f t="shared" si="56"/>
        <v>5888619.7199999997</v>
      </c>
      <c r="GR40">
        <v>0</v>
      </c>
      <c r="GS40">
        <v>3</v>
      </c>
      <c r="GT40">
        <v>0</v>
      </c>
      <c r="GU40" t="s">
        <v>3</v>
      </c>
      <c r="GV40">
        <f t="shared" si="57"/>
        <v>0</v>
      </c>
      <c r="GW40">
        <v>1</v>
      </c>
      <c r="GX40">
        <f t="shared" si="58"/>
        <v>0</v>
      </c>
      <c r="HA40">
        <v>0</v>
      </c>
      <c r="HB40">
        <v>0</v>
      </c>
      <c r="HC40">
        <f t="shared" si="59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HS40">
        <v>0</v>
      </c>
      <c r="IK40">
        <v>0</v>
      </c>
    </row>
    <row r="41" spans="1:245" x14ac:dyDescent="0.25">
      <c r="A41">
        <v>17</v>
      </c>
      <c r="B41">
        <v>1</v>
      </c>
      <c r="C41">
        <f>ROW(SmtRes!A13)</f>
        <v>13</v>
      </c>
      <c r="D41">
        <f>ROW(EtalonRes!A13)</f>
        <v>13</v>
      </c>
      <c r="E41" t="s">
        <v>64</v>
      </c>
      <c r="F41" t="s">
        <v>65</v>
      </c>
      <c r="G41" t="s">
        <v>66</v>
      </c>
      <c r="H41" t="s">
        <v>20</v>
      </c>
      <c r="I41">
        <v>123.58328</v>
      </c>
      <c r="J41">
        <v>0</v>
      </c>
      <c r="K41">
        <v>123.58328</v>
      </c>
      <c r="O41">
        <f t="shared" si="28"/>
        <v>9473399.9199999999</v>
      </c>
      <c r="P41">
        <f t="shared" si="29"/>
        <v>8434558.8599999994</v>
      </c>
      <c r="Q41">
        <f t="shared" si="30"/>
        <v>982857.83</v>
      </c>
      <c r="R41">
        <f t="shared" si="31"/>
        <v>414683.7</v>
      </c>
      <c r="S41">
        <f t="shared" si="32"/>
        <v>55983.23</v>
      </c>
      <c r="T41">
        <f t="shared" si="33"/>
        <v>0</v>
      </c>
      <c r="U41">
        <f t="shared" si="34"/>
        <v>123.58328</v>
      </c>
      <c r="V41">
        <f t="shared" si="35"/>
        <v>0</v>
      </c>
      <c r="W41">
        <f t="shared" si="36"/>
        <v>0</v>
      </c>
      <c r="X41">
        <f t="shared" si="37"/>
        <v>39188.26</v>
      </c>
      <c r="Y41">
        <f t="shared" si="38"/>
        <v>5598.32</v>
      </c>
      <c r="AA41">
        <v>80889732</v>
      </c>
      <c r="AB41">
        <f t="shared" si="39"/>
        <v>76656</v>
      </c>
      <c r="AC41">
        <f>ROUND(((ES41*50)),6)</f>
        <v>68250</v>
      </c>
      <c r="AD41">
        <f>ROUND(((((ET41*50))-((EU41*50)))+AE41),6)</f>
        <v>7953</v>
      </c>
      <c r="AE41">
        <f>ROUND(((EU41*50)),6)</f>
        <v>3355.5</v>
      </c>
      <c r="AF41">
        <f>ROUND(((EV41*50)),6)</f>
        <v>453</v>
      </c>
      <c r="AG41">
        <f t="shared" si="40"/>
        <v>0</v>
      </c>
      <c r="AH41">
        <f>((EW41*50))</f>
        <v>1</v>
      </c>
      <c r="AI41">
        <f>((EX41*50))</f>
        <v>0</v>
      </c>
      <c r="AJ41">
        <f t="shared" si="41"/>
        <v>0</v>
      </c>
      <c r="AK41">
        <v>1533.12</v>
      </c>
      <c r="AL41">
        <v>1365</v>
      </c>
      <c r="AM41">
        <v>159.06</v>
      </c>
      <c r="AN41">
        <v>67.11</v>
      </c>
      <c r="AO41">
        <v>9.06</v>
      </c>
      <c r="AP41">
        <v>0</v>
      </c>
      <c r="AQ41">
        <v>0.02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67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2"/>
        <v>9473399.9199999999</v>
      </c>
      <c r="CQ41">
        <f t="shared" si="43"/>
        <v>68250</v>
      </c>
      <c r="CR41">
        <f>(((((ET41*50))*BB41-((EU41*50))*BS41)+AE41*BS41)*AV41)</f>
        <v>7953</v>
      </c>
      <c r="CS41">
        <f t="shared" si="44"/>
        <v>3355.5</v>
      </c>
      <c r="CT41">
        <f t="shared" si="45"/>
        <v>453</v>
      </c>
      <c r="CU41">
        <f t="shared" si="46"/>
        <v>0</v>
      </c>
      <c r="CV41">
        <f t="shared" si="47"/>
        <v>1</v>
      </c>
      <c r="CW41">
        <f t="shared" si="48"/>
        <v>0</v>
      </c>
      <c r="CX41">
        <f t="shared" si="49"/>
        <v>0</v>
      </c>
      <c r="CY41">
        <f t="shared" si="50"/>
        <v>39188.260999999999</v>
      </c>
      <c r="CZ41">
        <f t="shared" si="51"/>
        <v>5598.3230000000003</v>
      </c>
      <c r="DC41" t="s">
        <v>3</v>
      </c>
      <c r="DD41" t="s">
        <v>63</v>
      </c>
      <c r="DE41" t="s">
        <v>63</v>
      </c>
      <c r="DF41" t="s">
        <v>63</v>
      </c>
      <c r="DG41" t="s">
        <v>63</v>
      </c>
      <c r="DH41" t="s">
        <v>3</v>
      </c>
      <c r="DI41" t="s">
        <v>63</v>
      </c>
      <c r="DJ41" t="s">
        <v>63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1005</v>
      </c>
      <c r="DV41" t="s">
        <v>20</v>
      </c>
      <c r="DW41" t="s">
        <v>20</v>
      </c>
      <c r="DX41">
        <v>1000</v>
      </c>
      <c r="DZ41" t="s">
        <v>3</v>
      </c>
      <c r="EA41" t="s">
        <v>3</v>
      </c>
      <c r="EB41" t="s">
        <v>3</v>
      </c>
      <c r="EC41" t="s">
        <v>3</v>
      </c>
      <c r="EE41">
        <v>80196140</v>
      </c>
      <c r="EF41">
        <v>1</v>
      </c>
      <c r="EG41" t="s">
        <v>23</v>
      </c>
      <c r="EH41">
        <v>0</v>
      </c>
      <c r="EI41" t="s">
        <v>3</v>
      </c>
      <c r="EJ41">
        <v>4</v>
      </c>
      <c r="EK41">
        <v>0</v>
      </c>
      <c r="EL41" t="s">
        <v>24</v>
      </c>
      <c r="EM41" t="s">
        <v>25</v>
      </c>
      <c r="EO41" t="s">
        <v>3</v>
      </c>
      <c r="EQ41">
        <v>0</v>
      </c>
      <c r="ER41">
        <v>1533.12</v>
      </c>
      <c r="ES41">
        <v>1365</v>
      </c>
      <c r="ET41">
        <v>159.06</v>
      </c>
      <c r="EU41">
        <v>67.11</v>
      </c>
      <c r="EV41">
        <v>9.06</v>
      </c>
      <c r="EW41">
        <v>0.02</v>
      </c>
      <c r="EX41">
        <v>0</v>
      </c>
      <c r="EY41">
        <v>0</v>
      </c>
      <c r="FQ41">
        <v>0</v>
      </c>
      <c r="FR41"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-905148242</v>
      </c>
      <c r="GG41">
        <v>2</v>
      </c>
      <c r="GH41">
        <v>1</v>
      </c>
      <c r="GI41">
        <v>-2</v>
      </c>
      <c r="GJ41">
        <v>0</v>
      </c>
      <c r="GK41">
        <f>ROUND(R41*(R12)/100,2)</f>
        <v>447858.4</v>
      </c>
      <c r="GL41">
        <f t="shared" si="52"/>
        <v>0</v>
      </c>
      <c r="GM41">
        <f t="shared" si="53"/>
        <v>9966044.9000000004</v>
      </c>
      <c r="GN41">
        <f t="shared" si="54"/>
        <v>0</v>
      </c>
      <c r="GO41">
        <f t="shared" si="55"/>
        <v>0</v>
      </c>
      <c r="GP41">
        <f t="shared" si="56"/>
        <v>9966044.9000000004</v>
      </c>
      <c r="GR41">
        <v>0</v>
      </c>
      <c r="GS41">
        <v>3</v>
      </c>
      <c r="GT41">
        <v>0</v>
      </c>
      <c r="GU41" t="s">
        <v>3</v>
      </c>
      <c r="GV41">
        <f t="shared" si="57"/>
        <v>0</v>
      </c>
      <c r="GW41">
        <v>1</v>
      </c>
      <c r="GX41">
        <f t="shared" si="58"/>
        <v>0</v>
      </c>
      <c r="HA41">
        <v>0</v>
      </c>
      <c r="HB41">
        <v>0</v>
      </c>
      <c r="HC41">
        <f t="shared" si="59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HS41">
        <v>0</v>
      </c>
      <c r="IK41">
        <v>0</v>
      </c>
    </row>
    <row r="42" spans="1:245" x14ac:dyDescent="0.25">
      <c r="A42">
        <v>17</v>
      </c>
      <c r="B42">
        <v>1</v>
      </c>
      <c r="C42">
        <f>ROW(SmtRes!A14)</f>
        <v>14</v>
      </c>
      <c r="D42">
        <f>ROW(EtalonRes!A14)</f>
        <v>14</v>
      </c>
      <c r="E42" t="s">
        <v>68</v>
      </c>
      <c r="F42" t="s">
        <v>69</v>
      </c>
      <c r="G42" t="s">
        <v>70</v>
      </c>
      <c r="H42" t="s">
        <v>29</v>
      </c>
      <c r="I42">
        <v>15.447900000000001</v>
      </c>
      <c r="J42">
        <v>0</v>
      </c>
      <c r="K42">
        <v>15.447900000000001</v>
      </c>
      <c r="O42">
        <f t="shared" si="28"/>
        <v>337403.76</v>
      </c>
      <c r="P42">
        <f t="shared" si="29"/>
        <v>0</v>
      </c>
      <c r="Q42">
        <f t="shared" si="30"/>
        <v>0</v>
      </c>
      <c r="R42">
        <f t="shared" si="31"/>
        <v>0</v>
      </c>
      <c r="S42">
        <f t="shared" si="32"/>
        <v>337403.76</v>
      </c>
      <c r="T42">
        <f t="shared" si="33"/>
        <v>0</v>
      </c>
      <c r="U42">
        <f t="shared" si="34"/>
        <v>744.58878000000004</v>
      </c>
      <c r="V42">
        <f t="shared" si="35"/>
        <v>0</v>
      </c>
      <c r="W42">
        <f t="shared" si="36"/>
        <v>0</v>
      </c>
      <c r="X42">
        <f t="shared" si="37"/>
        <v>236182.63</v>
      </c>
      <c r="Y42">
        <f t="shared" si="38"/>
        <v>33740.379999999997</v>
      </c>
      <c r="AA42">
        <v>80889732</v>
      </c>
      <c r="AB42">
        <f t="shared" si="39"/>
        <v>21841.4</v>
      </c>
      <c r="AC42">
        <f>ROUND(((ES42*20)),6)</f>
        <v>0</v>
      </c>
      <c r="AD42">
        <f>ROUND(((((ET42*20))-((EU42*20)))+AE42),6)</f>
        <v>0</v>
      </c>
      <c r="AE42">
        <f>ROUND(((EU42*20)),6)</f>
        <v>0</v>
      </c>
      <c r="AF42">
        <f>ROUND(((EV42*20)),6)</f>
        <v>21841.4</v>
      </c>
      <c r="AG42">
        <f t="shared" si="40"/>
        <v>0</v>
      </c>
      <c r="AH42">
        <f>((EW42*20))</f>
        <v>48.2</v>
      </c>
      <c r="AI42">
        <f>((EX42*20))</f>
        <v>0</v>
      </c>
      <c r="AJ42">
        <f t="shared" si="41"/>
        <v>0</v>
      </c>
      <c r="AK42">
        <v>1092.07</v>
      </c>
      <c r="AL42">
        <v>0</v>
      </c>
      <c r="AM42">
        <v>0</v>
      </c>
      <c r="AN42">
        <v>0</v>
      </c>
      <c r="AO42">
        <v>1092.07</v>
      </c>
      <c r="AP42">
        <v>0</v>
      </c>
      <c r="AQ42">
        <v>2.41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4</v>
      </c>
      <c r="BJ42" t="s">
        <v>71</v>
      </c>
      <c r="BM42">
        <v>0</v>
      </c>
      <c r="BN42">
        <v>0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2"/>
        <v>337403.76</v>
      </c>
      <c r="CQ42">
        <f t="shared" si="43"/>
        <v>0</v>
      </c>
      <c r="CR42">
        <f>(((((ET42*20))*BB42-((EU42*20))*BS42)+AE42*BS42)*AV42)</f>
        <v>0</v>
      </c>
      <c r="CS42">
        <f t="shared" si="44"/>
        <v>0</v>
      </c>
      <c r="CT42">
        <f t="shared" si="45"/>
        <v>21841.4</v>
      </c>
      <c r="CU42">
        <f t="shared" si="46"/>
        <v>0</v>
      </c>
      <c r="CV42">
        <f t="shared" si="47"/>
        <v>48.2</v>
      </c>
      <c r="CW42">
        <f t="shared" si="48"/>
        <v>0</v>
      </c>
      <c r="CX42">
        <f t="shared" si="49"/>
        <v>0</v>
      </c>
      <c r="CY42">
        <f t="shared" si="50"/>
        <v>236182.63199999998</v>
      </c>
      <c r="CZ42">
        <f t="shared" si="51"/>
        <v>33740.376000000004</v>
      </c>
      <c r="DC42" t="s">
        <v>3</v>
      </c>
      <c r="DD42" t="s">
        <v>72</v>
      </c>
      <c r="DE42" t="s">
        <v>72</v>
      </c>
      <c r="DF42" t="s">
        <v>72</v>
      </c>
      <c r="DG42" t="s">
        <v>72</v>
      </c>
      <c r="DH42" t="s">
        <v>3</v>
      </c>
      <c r="DI42" t="s">
        <v>72</v>
      </c>
      <c r="DJ42" t="s">
        <v>72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1005</v>
      </c>
      <c r="DV42" t="s">
        <v>29</v>
      </c>
      <c r="DW42" t="s">
        <v>29</v>
      </c>
      <c r="DX42">
        <v>100</v>
      </c>
      <c r="DZ42" t="s">
        <v>3</v>
      </c>
      <c r="EA42" t="s">
        <v>3</v>
      </c>
      <c r="EB42" t="s">
        <v>3</v>
      </c>
      <c r="EC42" t="s">
        <v>3</v>
      </c>
      <c r="EE42">
        <v>80196140</v>
      </c>
      <c r="EF42">
        <v>1</v>
      </c>
      <c r="EG42" t="s">
        <v>23</v>
      </c>
      <c r="EH42">
        <v>0</v>
      </c>
      <c r="EI42" t="s">
        <v>3</v>
      </c>
      <c r="EJ42">
        <v>4</v>
      </c>
      <c r="EK42">
        <v>0</v>
      </c>
      <c r="EL42" t="s">
        <v>24</v>
      </c>
      <c r="EM42" t="s">
        <v>25</v>
      </c>
      <c r="EO42" t="s">
        <v>3</v>
      </c>
      <c r="EQ42">
        <v>0</v>
      </c>
      <c r="ER42">
        <v>1092.07</v>
      </c>
      <c r="ES42">
        <v>0</v>
      </c>
      <c r="ET42">
        <v>0</v>
      </c>
      <c r="EU42">
        <v>0</v>
      </c>
      <c r="EV42">
        <v>1092.07</v>
      </c>
      <c r="EW42">
        <v>2.41</v>
      </c>
      <c r="EX42">
        <v>0</v>
      </c>
      <c r="EY42">
        <v>0</v>
      </c>
      <c r="FQ42">
        <v>0</v>
      </c>
      <c r="FR42"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1681224467</v>
      </c>
      <c r="GG42">
        <v>2</v>
      </c>
      <c r="GH42">
        <v>1</v>
      </c>
      <c r="GI42">
        <v>-2</v>
      </c>
      <c r="GJ42">
        <v>0</v>
      </c>
      <c r="GK42">
        <f>ROUND(R42*(R12)/100,2)</f>
        <v>0</v>
      </c>
      <c r="GL42">
        <f t="shared" si="52"/>
        <v>0</v>
      </c>
      <c r="GM42">
        <f t="shared" si="53"/>
        <v>607326.77</v>
      </c>
      <c r="GN42">
        <f t="shared" si="54"/>
        <v>0</v>
      </c>
      <c r="GO42">
        <f t="shared" si="55"/>
        <v>0</v>
      </c>
      <c r="GP42">
        <f t="shared" si="56"/>
        <v>607326.77</v>
      </c>
      <c r="GR42">
        <v>0</v>
      </c>
      <c r="GS42">
        <v>3</v>
      </c>
      <c r="GT42">
        <v>0</v>
      </c>
      <c r="GU42" t="s">
        <v>3</v>
      </c>
      <c r="GV42">
        <f t="shared" si="57"/>
        <v>0</v>
      </c>
      <c r="GW42">
        <v>1</v>
      </c>
      <c r="GX42">
        <f t="shared" si="58"/>
        <v>0</v>
      </c>
      <c r="HA42">
        <v>0</v>
      </c>
      <c r="HB42">
        <v>0</v>
      </c>
      <c r="HC42">
        <f t="shared" si="59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HS42">
        <v>0</v>
      </c>
      <c r="IK42">
        <v>0</v>
      </c>
    </row>
    <row r="43" spans="1:245" x14ac:dyDescent="0.25">
      <c r="A43">
        <v>17</v>
      </c>
      <c r="B43">
        <v>1</v>
      </c>
      <c r="C43">
        <f>ROW(SmtRes!A16)</f>
        <v>16</v>
      </c>
      <c r="D43">
        <f>ROW(EtalonRes!A16)</f>
        <v>16</v>
      </c>
      <c r="E43" t="s">
        <v>73</v>
      </c>
      <c r="F43" t="s">
        <v>74</v>
      </c>
      <c r="G43" t="s">
        <v>75</v>
      </c>
      <c r="H43" t="s">
        <v>39</v>
      </c>
      <c r="I43">
        <v>27806.240000000002</v>
      </c>
      <c r="J43">
        <v>0</v>
      </c>
      <c r="K43">
        <v>27806.240000000002</v>
      </c>
      <c r="O43">
        <f t="shared" si="28"/>
        <v>24487843.32</v>
      </c>
      <c r="P43">
        <f t="shared" si="29"/>
        <v>0</v>
      </c>
      <c r="Q43">
        <f t="shared" si="30"/>
        <v>19825849.120000001</v>
      </c>
      <c r="R43">
        <f t="shared" si="31"/>
        <v>9725510.5</v>
      </c>
      <c r="S43">
        <f t="shared" si="32"/>
        <v>4661994.2</v>
      </c>
      <c r="T43">
        <f t="shared" si="33"/>
        <v>0</v>
      </c>
      <c r="U43">
        <f t="shared" si="34"/>
        <v>10288.308800000001</v>
      </c>
      <c r="V43">
        <f t="shared" si="35"/>
        <v>0</v>
      </c>
      <c r="W43">
        <f t="shared" si="36"/>
        <v>0</v>
      </c>
      <c r="X43">
        <f t="shared" si="37"/>
        <v>3263395.94</v>
      </c>
      <c r="Y43">
        <f t="shared" si="38"/>
        <v>466199.42</v>
      </c>
      <c r="AA43">
        <v>80889732</v>
      </c>
      <c r="AB43">
        <f t="shared" si="39"/>
        <v>880.66</v>
      </c>
      <c r="AC43">
        <f>ROUND((ES43),6)</f>
        <v>0</v>
      </c>
      <c r="AD43">
        <f>ROUND((((ET43)-(EU43))+AE43),6)</f>
        <v>713</v>
      </c>
      <c r="AE43">
        <f>ROUND((EU43),6)</f>
        <v>349.76</v>
      </c>
      <c r="AF43">
        <f>ROUND((EV43),6)</f>
        <v>167.66</v>
      </c>
      <c r="AG43">
        <f t="shared" si="40"/>
        <v>0</v>
      </c>
      <c r="AH43">
        <f>(EW43)</f>
        <v>0.37</v>
      </c>
      <c r="AI43">
        <f>(EX43)</f>
        <v>0</v>
      </c>
      <c r="AJ43">
        <f t="shared" si="41"/>
        <v>0</v>
      </c>
      <c r="AK43">
        <v>880.66</v>
      </c>
      <c r="AL43">
        <v>0</v>
      </c>
      <c r="AM43">
        <v>713</v>
      </c>
      <c r="AN43">
        <v>349.76</v>
      </c>
      <c r="AO43">
        <v>167.66</v>
      </c>
      <c r="AP43">
        <v>0</v>
      </c>
      <c r="AQ43">
        <v>0.37</v>
      </c>
      <c r="AR43">
        <v>0</v>
      </c>
      <c r="AS43">
        <v>0</v>
      </c>
      <c r="AT43">
        <v>70</v>
      </c>
      <c r="AU43">
        <v>10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4</v>
      </c>
      <c r="BJ43" t="s">
        <v>76</v>
      </c>
      <c r="BM43">
        <v>0</v>
      </c>
      <c r="BN43">
        <v>0</v>
      </c>
      <c r="BO43" t="s">
        <v>3</v>
      </c>
      <c r="BP43">
        <v>0</v>
      </c>
      <c r="BQ43">
        <v>1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70</v>
      </c>
      <c r="CA43">
        <v>10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2"/>
        <v>24487843.32</v>
      </c>
      <c r="CQ43">
        <f t="shared" si="43"/>
        <v>0</v>
      </c>
      <c r="CR43">
        <f>((((ET43)*BB43-(EU43)*BS43)+AE43*BS43)*AV43)</f>
        <v>713</v>
      </c>
      <c r="CS43">
        <f t="shared" si="44"/>
        <v>349.76</v>
      </c>
      <c r="CT43">
        <f t="shared" si="45"/>
        <v>167.66</v>
      </c>
      <c r="CU43">
        <f t="shared" si="46"/>
        <v>0</v>
      </c>
      <c r="CV43">
        <f t="shared" si="47"/>
        <v>0.37</v>
      </c>
      <c r="CW43">
        <f t="shared" si="48"/>
        <v>0</v>
      </c>
      <c r="CX43">
        <f t="shared" si="49"/>
        <v>0</v>
      </c>
      <c r="CY43">
        <f t="shared" si="50"/>
        <v>3263395.94</v>
      </c>
      <c r="CZ43">
        <f t="shared" si="51"/>
        <v>466199.42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1007</v>
      </c>
      <c r="DV43" t="s">
        <v>39</v>
      </c>
      <c r="DW43" t="s">
        <v>39</v>
      </c>
      <c r="DX43">
        <v>1</v>
      </c>
      <c r="DZ43" t="s">
        <v>3</v>
      </c>
      <c r="EA43" t="s">
        <v>3</v>
      </c>
      <c r="EB43" t="s">
        <v>3</v>
      </c>
      <c r="EC43" t="s">
        <v>3</v>
      </c>
      <c r="EE43">
        <v>80196140</v>
      </c>
      <c r="EF43">
        <v>1</v>
      </c>
      <c r="EG43" t="s">
        <v>23</v>
      </c>
      <c r="EH43">
        <v>0</v>
      </c>
      <c r="EI43" t="s">
        <v>3</v>
      </c>
      <c r="EJ43">
        <v>4</v>
      </c>
      <c r="EK43">
        <v>0</v>
      </c>
      <c r="EL43" t="s">
        <v>24</v>
      </c>
      <c r="EM43" t="s">
        <v>25</v>
      </c>
      <c r="EO43" t="s">
        <v>3</v>
      </c>
      <c r="EQ43">
        <v>0</v>
      </c>
      <c r="ER43">
        <v>880.66</v>
      </c>
      <c r="ES43">
        <v>0</v>
      </c>
      <c r="ET43">
        <v>713</v>
      </c>
      <c r="EU43">
        <v>349.76</v>
      </c>
      <c r="EV43">
        <v>167.66</v>
      </c>
      <c r="EW43">
        <v>0.37</v>
      </c>
      <c r="EX43">
        <v>0</v>
      </c>
      <c r="EY43">
        <v>0</v>
      </c>
      <c r="FQ43">
        <v>0</v>
      </c>
      <c r="FR43">
        <v>0</v>
      </c>
      <c r="FS43">
        <v>0</v>
      </c>
      <c r="FX43">
        <v>70</v>
      </c>
      <c r="FY43">
        <v>10</v>
      </c>
      <c r="GA43" t="s">
        <v>3</v>
      </c>
      <c r="GD43">
        <v>0</v>
      </c>
      <c r="GF43">
        <v>-730330233</v>
      </c>
      <c r="GG43">
        <v>2</v>
      </c>
      <c r="GH43">
        <v>1</v>
      </c>
      <c r="GI43">
        <v>-2</v>
      </c>
      <c r="GJ43">
        <v>0</v>
      </c>
      <c r="GK43">
        <f>ROUND(R43*(R12)/100,2)</f>
        <v>10503551.34</v>
      </c>
      <c r="GL43">
        <f t="shared" si="52"/>
        <v>0</v>
      </c>
      <c r="GM43">
        <f t="shared" si="53"/>
        <v>38720990.020000003</v>
      </c>
      <c r="GN43">
        <f t="shared" si="54"/>
        <v>0</v>
      </c>
      <c r="GO43">
        <f t="shared" si="55"/>
        <v>0</v>
      </c>
      <c r="GP43">
        <f t="shared" si="56"/>
        <v>38720990.020000003</v>
      </c>
      <c r="GR43">
        <v>0</v>
      </c>
      <c r="GS43">
        <v>3</v>
      </c>
      <c r="GT43">
        <v>0</v>
      </c>
      <c r="GU43" t="s">
        <v>3</v>
      </c>
      <c r="GV43">
        <f t="shared" si="57"/>
        <v>0</v>
      </c>
      <c r="GW43">
        <v>1</v>
      </c>
      <c r="GX43">
        <f t="shared" si="58"/>
        <v>0</v>
      </c>
      <c r="HA43">
        <v>0</v>
      </c>
      <c r="HB43">
        <v>0</v>
      </c>
      <c r="HC43">
        <f t="shared" si="59"/>
        <v>0</v>
      </c>
      <c r="HE43" t="s">
        <v>3</v>
      </c>
      <c r="HF43" t="s">
        <v>3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HS43">
        <v>0</v>
      </c>
      <c r="IK43">
        <v>0</v>
      </c>
    </row>
    <row r="44" spans="1:245" x14ac:dyDescent="0.25">
      <c r="A44">
        <v>17</v>
      </c>
      <c r="B44">
        <v>1</v>
      </c>
      <c r="C44">
        <f>ROW(SmtRes!A17)</f>
        <v>17</v>
      </c>
      <c r="D44">
        <f>ROW(EtalonRes!A17)</f>
        <v>17</v>
      </c>
      <c r="E44" t="s">
        <v>77</v>
      </c>
      <c r="F44" t="s">
        <v>78</v>
      </c>
      <c r="G44" t="s">
        <v>79</v>
      </c>
      <c r="H44" t="s">
        <v>39</v>
      </c>
      <c r="I44">
        <v>27806.240000000002</v>
      </c>
      <c r="J44">
        <v>0</v>
      </c>
      <c r="K44">
        <v>27806.240000000002</v>
      </c>
      <c r="O44">
        <f t="shared" si="28"/>
        <v>5248149.74</v>
      </c>
      <c r="P44">
        <f t="shared" si="29"/>
        <v>0</v>
      </c>
      <c r="Q44">
        <f t="shared" si="30"/>
        <v>5248149.74</v>
      </c>
      <c r="R44">
        <f t="shared" si="31"/>
        <v>2574301.7000000002</v>
      </c>
      <c r="S44">
        <f t="shared" si="32"/>
        <v>0</v>
      </c>
      <c r="T44">
        <f t="shared" si="33"/>
        <v>0</v>
      </c>
      <c r="U44">
        <f t="shared" si="34"/>
        <v>0</v>
      </c>
      <c r="V44">
        <f t="shared" si="35"/>
        <v>0</v>
      </c>
      <c r="W44">
        <f t="shared" si="36"/>
        <v>0</v>
      </c>
      <c r="X44">
        <f t="shared" si="37"/>
        <v>0</v>
      </c>
      <c r="Y44">
        <f t="shared" si="38"/>
        <v>0</v>
      </c>
      <c r="AA44">
        <v>80889732</v>
      </c>
      <c r="AB44">
        <f t="shared" si="39"/>
        <v>188.74</v>
      </c>
      <c r="AC44">
        <f>ROUND((ES44),6)</f>
        <v>0</v>
      </c>
      <c r="AD44">
        <f>ROUND((((ET44)-(EU44))+AE44),6)</f>
        <v>188.74</v>
      </c>
      <c r="AE44">
        <f>ROUND((EU44),6)</f>
        <v>92.58</v>
      </c>
      <c r="AF44">
        <f>ROUND((EV44),6)</f>
        <v>0</v>
      </c>
      <c r="AG44">
        <f t="shared" si="40"/>
        <v>0</v>
      </c>
      <c r="AH44">
        <f>(EW44)</f>
        <v>0</v>
      </c>
      <c r="AI44">
        <f>(EX44)</f>
        <v>0</v>
      </c>
      <c r="AJ44">
        <f t="shared" si="41"/>
        <v>0</v>
      </c>
      <c r="AK44">
        <v>188.74</v>
      </c>
      <c r="AL44">
        <v>0</v>
      </c>
      <c r="AM44">
        <v>188.74</v>
      </c>
      <c r="AN44">
        <v>92.58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70</v>
      </c>
      <c r="AU44">
        <v>10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3</v>
      </c>
      <c r="BE44" t="s">
        <v>3</v>
      </c>
      <c r="BF44" t="s">
        <v>3</v>
      </c>
      <c r="BG44" t="s">
        <v>3</v>
      </c>
      <c r="BH44">
        <v>0</v>
      </c>
      <c r="BI44">
        <v>4</v>
      </c>
      <c r="BJ44" t="s">
        <v>80</v>
      </c>
      <c r="BM44">
        <v>0</v>
      </c>
      <c r="BN44">
        <v>0</v>
      </c>
      <c r="BO44" t="s">
        <v>3</v>
      </c>
      <c r="BP44">
        <v>0</v>
      </c>
      <c r="BQ44">
        <v>1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70</v>
      </c>
      <c r="CA44">
        <v>10</v>
      </c>
      <c r="CB44" t="s">
        <v>3</v>
      </c>
      <c r="CE44">
        <v>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42"/>
        <v>5248149.74</v>
      </c>
      <c r="CQ44">
        <f t="shared" si="43"/>
        <v>0</v>
      </c>
      <c r="CR44">
        <f>((((ET44)*BB44-(EU44)*BS44)+AE44*BS44)*AV44)</f>
        <v>188.74</v>
      </c>
      <c r="CS44">
        <f t="shared" si="44"/>
        <v>92.58</v>
      </c>
      <c r="CT44">
        <f t="shared" si="45"/>
        <v>0</v>
      </c>
      <c r="CU44">
        <f t="shared" si="46"/>
        <v>0</v>
      </c>
      <c r="CV44">
        <f t="shared" si="47"/>
        <v>0</v>
      </c>
      <c r="CW44">
        <f t="shared" si="48"/>
        <v>0</v>
      </c>
      <c r="CX44">
        <f t="shared" si="49"/>
        <v>0</v>
      </c>
      <c r="CY44">
        <f t="shared" si="50"/>
        <v>0</v>
      </c>
      <c r="CZ44">
        <f t="shared" si="51"/>
        <v>0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1007</v>
      </c>
      <c r="DV44" t="s">
        <v>39</v>
      </c>
      <c r="DW44" t="s">
        <v>39</v>
      </c>
      <c r="DX44">
        <v>1</v>
      </c>
      <c r="DZ44" t="s">
        <v>3</v>
      </c>
      <c r="EA44" t="s">
        <v>3</v>
      </c>
      <c r="EB44" t="s">
        <v>3</v>
      </c>
      <c r="EC44" t="s">
        <v>3</v>
      </c>
      <c r="EE44">
        <v>80196140</v>
      </c>
      <c r="EF44">
        <v>1</v>
      </c>
      <c r="EG44" t="s">
        <v>23</v>
      </c>
      <c r="EH44">
        <v>0</v>
      </c>
      <c r="EI44" t="s">
        <v>3</v>
      </c>
      <c r="EJ44">
        <v>4</v>
      </c>
      <c r="EK44">
        <v>0</v>
      </c>
      <c r="EL44" t="s">
        <v>24</v>
      </c>
      <c r="EM44" t="s">
        <v>25</v>
      </c>
      <c r="EO44" t="s">
        <v>3</v>
      </c>
      <c r="EQ44">
        <v>0</v>
      </c>
      <c r="ER44">
        <v>188.74</v>
      </c>
      <c r="ES44">
        <v>0</v>
      </c>
      <c r="ET44">
        <v>188.74</v>
      </c>
      <c r="EU44">
        <v>92.58</v>
      </c>
      <c r="EV44">
        <v>0</v>
      </c>
      <c r="EW44">
        <v>0</v>
      </c>
      <c r="EX44">
        <v>0</v>
      </c>
      <c r="EY44">
        <v>0</v>
      </c>
      <c r="FQ44">
        <v>0</v>
      </c>
      <c r="FR44">
        <v>0</v>
      </c>
      <c r="FS44">
        <v>0</v>
      </c>
      <c r="FX44">
        <v>70</v>
      </c>
      <c r="FY44">
        <v>10</v>
      </c>
      <c r="GA44" t="s">
        <v>3</v>
      </c>
      <c r="GD44">
        <v>0</v>
      </c>
      <c r="GF44">
        <v>-290731089</v>
      </c>
      <c r="GG44">
        <v>2</v>
      </c>
      <c r="GH44">
        <v>1</v>
      </c>
      <c r="GI44">
        <v>-2</v>
      </c>
      <c r="GJ44">
        <v>0</v>
      </c>
      <c r="GK44">
        <f>ROUND(R44*(R12)/100,2)</f>
        <v>2780245.84</v>
      </c>
      <c r="GL44">
        <f t="shared" si="52"/>
        <v>0</v>
      </c>
      <c r="GM44">
        <f t="shared" si="53"/>
        <v>8028395.5800000001</v>
      </c>
      <c r="GN44">
        <f t="shared" si="54"/>
        <v>0</v>
      </c>
      <c r="GO44">
        <f t="shared" si="55"/>
        <v>0</v>
      </c>
      <c r="GP44">
        <f t="shared" si="56"/>
        <v>8028395.5800000001</v>
      </c>
      <c r="GR44">
        <v>0</v>
      </c>
      <c r="GS44">
        <v>3</v>
      </c>
      <c r="GT44">
        <v>0</v>
      </c>
      <c r="GU44" t="s">
        <v>3</v>
      </c>
      <c r="GV44">
        <f t="shared" si="57"/>
        <v>0</v>
      </c>
      <c r="GW44">
        <v>1</v>
      </c>
      <c r="GX44">
        <f t="shared" si="58"/>
        <v>0</v>
      </c>
      <c r="HA44">
        <v>0</v>
      </c>
      <c r="HB44">
        <v>0</v>
      </c>
      <c r="HC44">
        <f t="shared" si="59"/>
        <v>0</v>
      </c>
      <c r="HE44" t="s">
        <v>3</v>
      </c>
      <c r="HF44" t="s">
        <v>3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HS44">
        <v>0</v>
      </c>
      <c r="IK44">
        <v>0</v>
      </c>
    </row>
    <row r="45" spans="1:245" x14ac:dyDescent="0.25">
      <c r="A45">
        <v>17</v>
      </c>
      <c r="B45">
        <v>1</v>
      </c>
      <c r="C45">
        <f>ROW(SmtRes!A18)</f>
        <v>18</v>
      </c>
      <c r="D45">
        <f>ROW(EtalonRes!A18)</f>
        <v>18</v>
      </c>
      <c r="E45" t="s">
        <v>81</v>
      </c>
      <c r="F45" t="s">
        <v>82</v>
      </c>
      <c r="G45" t="s">
        <v>83</v>
      </c>
      <c r="H45" t="s">
        <v>29</v>
      </c>
      <c r="I45">
        <v>1.5824</v>
      </c>
      <c r="J45">
        <v>0</v>
      </c>
      <c r="K45">
        <v>1.5824</v>
      </c>
      <c r="O45">
        <f t="shared" si="28"/>
        <v>110819.59</v>
      </c>
      <c r="P45">
        <f t="shared" si="29"/>
        <v>0</v>
      </c>
      <c r="Q45">
        <f t="shared" si="30"/>
        <v>0</v>
      </c>
      <c r="R45">
        <f t="shared" si="31"/>
        <v>0</v>
      </c>
      <c r="S45">
        <f t="shared" si="32"/>
        <v>110819.59</v>
      </c>
      <c r="T45">
        <f t="shared" si="33"/>
        <v>0</v>
      </c>
      <c r="U45">
        <f t="shared" si="34"/>
        <v>244.55992000000003</v>
      </c>
      <c r="V45">
        <f t="shared" si="35"/>
        <v>0</v>
      </c>
      <c r="W45">
        <f t="shared" si="36"/>
        <v>0</v>
      </c>
      <c r="X45">
        <f t="shared" si="37"/>
        <v>77573.710000000006</v>
      </c>
      <c r="Y45">
        <f t="shared" si="38"/>
        <v>11081.96</v>
      </c>
      <c r="AA45">
        <v>80889732</v>
      </c>
      <c r="AB45">
        <f t="shared" si="39"/>
        <v>70032.600000000006</v>
      </c>
      <c r="AC45">
        <f>ROUND(((ES45*55)),6)</f>
        <v>0</v>
      </c>
      <c r="AD45">
        <f>ROUND(((((ET45*55))-((EU45*55)))+AE45),6)</f>
        <v>0</v>
      </c>
      <c r="AE45">
        <f>ROUND(((EU45*55)),6)</f>
        <v>0</v>
      </c>
      <c r="AF45">
        <f>ROUND(((EV45*55)),6)</f>
        <v>70032.600000000006</v>
      </c>
      <c r="AG45">
        <f t="shared" si="40"/>
        <v>0</v>
      </c>
      <c r="AH45">
        <f>((EW45*55))</f>
        <v>154.55000000000001</v>
      </c>
      <c r="AI45">
        <f>((EX45*55))</f>
        <v>0</v>
      </c>
      <c r="AJ45">
        <f t="shared" si="41"/>
        <v>0</v>
      </c>
      <c r="AK45">
        <v>1273.32</v>
      </c>
      <c r="AL45">
        <v>0</v>
      </c>
      <c r="AM45">
        <v>0</v>
      </c>
      <c r="AN45">
        <v>0</v>
      </c>
      <c r="AO45">
        <v>1273.32</v>
      </c>
      <c r="AP45">
        <v>0</v>
      </c>
      <c r="AQ45">
        <v>2.81</v>
      </c>
      <c r="AR45">
        <v>0</v>
      </c>
      <c r="AS45">
        <v>0</v>
      </c>
      <c r="AT45">
        <v>70</v>
      </c>
      <c r="AU45">
        <v>10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4</v>
      </c>
      <c r="BJ45" t="s">
        <v>84</v>
      </c>
      <c r="BM45">
        <v>0</v>
      </c>
      <c r="BN45">
        <v>0</v>
      </c>
      <c r="BO45" t="s">
        <v>3</v>
      </c>
      <c r="BP45">
        <v>0</v>
      </c>
      <c r="BQ45">
        <v>1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70</v>
      </c>
      <c r="CA45">
        <v>10</v>
      </c>
      <c r="CB45" t="s">
        <v>3</v>
      </c>
      <c r="CE45">
        <v>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42"/>
        <v>110819.59</v>
      </c>
      <c r="CQ45">
        <f t="shared" si="43"/>
        <v>0</v>
      </c>
      <c r="CR45">
        <f>(((((ET45*55))*BB45-((EU45*55))*BS45)+AE45*BS45)*AV45)</f>
        <v>0</v>
      </c>
      <c r="CS45">
        <f t="shared" si="44"/>
        <v>0</v>
      </c>
      <c r="CT45">
        <f t="shared" si="45"/>
        <v>70032.600000000006</v>
      </c>
      <c r="CU45">
        <f t="shared" si="46"/>
        <v>0</v>
      </c>
      <c r="CV45">
        <f t="shared" si="47"/>
        <v>154.55000000000001</v>
      </c>
      <c r="CW45">
        <f t="shared" si="48"/>
        <v>0</v>
      </c>
      <c r="CX45">
        <f t="shared" si="49"/>
        <v>0</v>
      </c>
      <c r="CY45">
        <f t="shared" si="50"/>
        <v>77573.713000000003</v>
      </c>
      <c r="CZ45">
        <f t="shared" si="51"/>
        <v>11081.958999999999</v>
      </c>
      <c r="DC45" t="s">
        <v>3</v>
      </c>
      <c r="DD45" t="s">
        <v>22</v>
      </c>
      <c r="DE45" t="s">
        <v>22</v>
      </c>
      <c r="DF45" t="s">
        <v>22</v>
      </c>
      <c r="DG45" t="s">
        <v>22</v>
      </c>
      <c r="DH45" t="s">
        <v>3</v>
      </c>
      <c r="DI45" t="s">
        <v>22</v>
      </c>
      <c r="DJ45" t="s">
        <v>22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1005</v>
      </c>
      <c r="DV45" t="s">
        <v>29</v>
      </c>
      <c r="DW45" t="s">
        <v>29</v>
      </c>
      <c r="DX45">
        <v>100</v>
      </c>
      <c r="DZ45" t="s">
        <v>3</v>
      </c>
      <c r="EA45" t="s">
        <v>3</v>
      </c>
      <c r="EB45" t="s">
        <v>3</v>
      </c>
      <c r="EC45" t="s">
        <v>3</v>
      </c>
      <c r="EE45">
        <v>80196140</v>
      </c>
      <c r="EF45">
        <v>1</v>
      </c>
      <c r="EG45" t="s">
        <v>23</v>
      </c>
      <c r="EH45">
        <v>0</v>
      </c>
      <c r="EI45" t="s">
        <v>3</v>
      </c>
      <c r="EJ45">
        <v>4</v>
      </c>
      <c r="EK45">
        <v>0</v>
      </c>
      <c r="EL45" t="s">
        <v>24</v>
      </c>
      <c r="EM45" t="s">
        <v>25</v>
      </c>
      <c r="EO45" t="s">
        <v>3</v>
      </c>
      <c r="EQ45">
        <v>0</v>
      </c>
      <c r="ER45">
        <v>1273.32</v>
      </c>
      <c r="ES45">
        <v>0</v>
      </c>
      <c r="ET45">
        <v>0</v>
      </c>
      <c r="EU45">
        <v>0</v>
      </c>
      <c r="EV45">
        <v>1273.32</v>
      </c>
      <c r="EW45">
        <v>2.81</v>
      </c>
      <c r="EX45">
        <v>0</v>
      </c>
      <c r="EY45">
        <v>0</v>
      </c>
      <c r="FQ45">
        <v>0</v>
      </c>
      <c r="FR45">
        <v>0</v>
      </c>
      <c r="FS45">
        <v>0</v>
      </c>
      <c r="FX45">
        <v>70</v>
      </c>
      <c r="FY45">
        <v>10</v>
      </c>
      <c r="GA45" t="s">
        <v>3</v>
      </c>
      <c r="GD45">
        <v>0</v>
      </c>
      <c r="GF45">
        <v>311426849</v>
      </c>
      <c r="GG45">
        <v>2</v>
      </c>
      <c r="GH45">
        <v>1</v>
      </c>
      <c r="GI45">
        <v>-2</v>
      </c>
      <c r="GJ45">
        <v>0</v>
      </c>
      <c r="GK45">
        <f>ROUND(R45*(R12)/100,2)</f>
        <v>0</v>
      </c>
      <c r="GL45">
        <f t="shared" si="52"/>
        <v>0</v>
      </c>
      <c r="GM45">
        <f t="shared" si="53"/>
        <v>199475.26</v>
      </c>
      <c r="GN45">
        <f t="shared" si="54"/>
        <v>0</v>
      </c>
      <c r="GO45">
        <f t="shared" si="55"/>
        <v>0</v>
      </c>
      <c r="GP45">
        <f t="shared" si="56"/>
        <v>199475.26</v>
      </c>
      <c r="GR45">
        <v>0</v>
      </c>
      <c r="GS45">
        <v>3</v>
      </c>
      <c r="GT45">
        <v>0</v>
      </c>
      <c r="GU45" t="s">
        <v>3</v>
      </c>
      <c r="GV45">
        <f t="shared" si="57"/>
        <v>0</v>
      </c>
      <c r="GW45">
        <v>1</v>
      </c>
      <c r="GX45">
        <f t="shared" si="58"/>
        <v>0</v>
      </c>
      <c r="HA45">
        <v>0</v>
      </c>
      <c r="HB45">
        <v>0</v>
      </c>
      <c r="HC45">
        <f t="shared" si="59"/>
        <v>0</v>
      </c>
      <c r="HE45" t="s">
        <v>3</v>
      </c>
      <c r="HF45" t="s">
        <v>3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HS45">
        <v>0</v>
      </c>
      <c r="IK45">
        <v>0</v>
      </c>
    </row>
    <row r="46" spans="1:245" x14ac:dyDescent="0.25">
      <c r="A46">
        <v>17</v>
      </c>
      <c r="B46">
        <v>1</v>
      </c>
      <c r="C46">
        <f>ROW(SmtRes!A20)</f>
        <v>20</v>
      </c>
      <c r="D46">
        <f>ROW(EtalonRes!A20)</f>
        <v>20</v>
      </c>
      <c r="E46" t="s">
        <v>85</v>
      </c>
      <c r="F46" t="s">
        <v>86</v>
      </c>
      <c r="G46" t="s">
        <v>87</v>
      </c>
      <c r="H46" t="s">
        <v>88</v>
      </c>
      <c r="I46">
        <v>1.27</v>
      </c>
      <c r="J46">
        <v>0</v>
      </c>
      <c r="K46">
        <v>1.27</v>
      </c>
      <c r="O46">
        <f t="shared" si="28"/>
        <v>279524.8</v>
      </c>
      <c r="P46">
        <f t="shared" si="29"/>
        <v>56229.25</v>
      </c>
      <c r="Q46">
        <f t="shared" si="30"/>
        <v>0</v>
      </c>
      <c r="R46">
        <f t="shared" si="31"/>
        <v>0</v>
      </c>
      <c r="S46">
        <f t="shared" si="32"/>
        <v>223295.55</v>
      </c>
      <c r="T46">
        <f t="shared" si="33"/>
        <v>0</v>
      </c>
      <c r="U46">
        <f t="shared" si="34"/>
        <v>492.77270000000004</v>
      </c>
      <c r="V46">
        <f t="shared" si="35"/>
        <v>0</v>
      </c>
      <c r="W46">
        <f t="shared" si="36"/>
        <v>0</v>
      </c>
      <c r="X46">
        <f t="shared" si="37"/>
        <v>156306.89000000001</v>
      </c>
      <c r="Y46">
        <f t="shared" si="38"/>
        <v>22329.56</v>
      </c>
      <c r="AA46">
        <v>80889732</v>
      </c>
      <c r="AB46">
        <f t="shared" si="39"/>
        <v>220098.27</v>
      </c>
      <c r="AC46">
        <f>ROUND(((ES46*161)),6)</f>
        <v>44275</v>
      </c>
      <c r="AD46">
        <f>ROUND(((((ET46*161))-((EU46*161)))+AE46),6)</f>
        <v>0</v>
      </c>
      <c r="AE46">
        <f>ROUND(((EU46*161)),6)</f>
        <v>0</v>
      </c>
      <c r="AF46">
        <f>ROUND(((EV46*161)),6)</f>
        <v>175823.27</v>
      </c>
      <c r="AG46">
        <f t="shared" si="40"/>
        <v>0</v>
      </c>
      <c r="AH46">
        <f>((EW46*161))</f>
        <v>388.01000000000005</v>
      </c>
      <c r="AI46">
        <f>((EX46*161))</f>
        <v>0</v>
      </c>
      <c r="AJ46">
        <f t="shared" si="41"/>
        <v>0</v>
      </c>
      <c r="AK46">
        <v>1367.07</v>
      </c>
      <c r="AL46">
        <v>275</v>
      </c>
      <c r="AM46">
        <v>0</v>
      </c>
      <c r="AN46">
        <v>0</v>
      </c>
      <c r="AO46">
        <v>1092.07</v>
      </c>
      <c r="AP46">
        <v>0</v>
      </c>
      <c r="AQ46">
        <v>2.41</v>
      </c>
      <c r="AR46">
        <v>0</v>
      </c>
      <c r="AS46">
        <v>0</v>
      </c>
      <c r="AT46">
        <v>70</v>
      </c>
      <c r="AU46">
        <v>10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3</v>
      </c>
      <c r="BE46" t="s">
        <v>3</v>
      </c>
      <c r="BF46" t="s">
        <v>3</v>
      </c>
      <c r="BG46" t="s">
        <v>3</v>
      </c>
      <c r="BH46">
        <v>0</v>
      </c>
      <c r="BI46">
        <v>4</v>
      </c>
      <c r="BJ46" t="s">
        <v>89</v>
      </c>
      <c r="BM46">
        <v>0</v>
      </c>
      <c r="BN46">
        <v>0</v>
      </c>
      <c r="BO46" t="s">
        <v>3</v>
      </c>
      <c r="BP46">
        <v>0</v>
      </c>
      <c r="BQ46">
        <v>1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70</v>
      </c>
      <c r="CA46">
        <v>10</v>
      </c>
      <c r="CB46" t="s">
        <v>3</v>
      </c>
      <c r="CE46">
        <v>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2"/>
        <v>279524.8</v>
      </c>
      <c r="CQ46">
        <f t="shared" si="43"/>
        <v>44275</v>
      </c>
      <c r="CR46">
        <f>(((((ET46*161))*BB46-((EU46*161))*BS46)+AE46*BS46)*AV46)</f>
        <v>0</v>
      </c>
      <c r="CS46">
        <f t="shared" si="44"/>
        <v>0</v>
      </c>
      <c r="CT46">
        <f t="shared" si="45"/>
        <v>175823.27</v>
      </c>
      <c r="CU46">
        <f t="shared" si="46"/>
        <v>0</v>
      </c>
      <c r="CV46">
        <f t="shared" si="47"/>
        <v>388.01000000000005</v>
      </c>
      <c r="CW46">
        <f t="shared" si="48"/>
        <v>0</v>
      </c>
      <c r="CX46">
        <f t="shared" si="49"/>
        <v>0</v>
      </c>
      <c r="CY46">
        <f t="shared" si="50"/>
        <v>156306.88500000001</v>
      </c>
      <c r="CZ46">
        <f t="shared" si="51"/>
        <v>22329.555</v>
      </c>
      <c r="DC46" t="s">
        <v>3</v>
      </c>
      <c r="DD46" t="s">
        <v>90</v>
      </c>
      <c r="DE46" t="s">
        <v>90</v>
      </c>
      <c r="DF46" t="s">
        <v>90</v>
      </c>
      <c r="DG46" t="s">
        <v>90</v>
      </c>
      <c r="DH46" t="s">
        <v>3</v>
      </c>
      <c r="DI46" t="s">
        <v>90</v>
      </c>
      <c r="DJ46" t="s">
        <v>90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1010</v>
      </c>
      <c r="DV46" t="s">
        <v>88</v>
      </c>
      <c r="DW46" t="s">
        <v>88</v>
      </c>
      <c r="DX46">
        <v>100</v>
      </c>
      <c r="DZ46" t="s">
        <v>3</v>
      </c>
      <c r="EA46" t="s">
        <v>3</v>
      </c>
      <c r="EB46" t="s">
        <v>3</v>
      </c>
      <c r="EC46" t="s">
        <v>3</v>
      </c>
      <c r="EE46">
        <v>80196140</v>
      </c>
      <c r="EF46">
        <v>1</v>
      </c>
      <c r="EG46" t="s">
        <v>23</v>
      </c>
      <c r="EH46">
        <v>0</v>
      </c>
      <c r="EI46" t="s">
        <v>3</v>
      </c>
      <c r="EJ46">
        <v>4</v>
      </c>
      <c r="EK46">
        <v>0</v>
      </c>
      <c r="EL46" t="s">
        <v>24</v>
      </c>
      <c r="EM46" t="s">
        <v>25</v>
      </c>
      <c r="EO46" t="s">
        <v>3</v>
      </c>
      <c r="EQ46">
        <v>0</v>
      </c>
      <c r="ER46">
        <v>1367.07</v>
      </c>
      <c r="ES46">
        <v>275</v>
      </c>
      <c r="ET46">
        <v>0</v>
      </c>
      <c r="EU46">
        <v>0</v>
      </c>
      <c r="EV46">
        <v>1092.07</v>
      </c>
      <c r="EW46">
        <v>2.41</v>
      </c>
      <c r="EX46">
        <v>0</v>
      </c>
      <c r="EY46">
        <v>0</v>
      </c>
      <c r="FQ46">
        <v>0</v>
      </c>
      <c r="FR46">
        <v>0</v>
      </c>
      <c r="FS46">
        <v>0</v>
      </c>
      <c r="FX46">
        <v>70</v>
      </c>
      <c r="FY46">
        <v>10</v>
      </c>
      <c r="GA46" t="s">
        <v>3</v>
      </c>
      <c r="GD46">
        <v>0</v>
      </c>
      <c r="GF46">
        <v>1968377727</v>
      </c>
      <c r="GG46">
        <v>2</v>
      </c>
      <c r="GH46">
        <v>1</v>
      </c>
      <c r="GI46">
        <v>-2</v>
      </c>
      <c r="GJ46">
        <v>0</v>
      </c>
      <c r="GK46">
        <f>ROUND(R46*(R12)/100,2)</f>
        <v>0</v>
      </c>
      <c r="GL46">
        <f t="shared" si="52"/>
        <v>0</v>
      </c>
      <c r="GM46">
        <f t="shared" si="53"/>
        <v>458161.25</v>
      </c>
      <c r="GN46">
        <f t="shared" si="54"/>
        <v>0</v>
      </c>
      <c r="GO46">
        <f t="shared" si="55"/>
        <v>0</v>
      </c>
      <c r="GP46">
        <f t="shared" si="56"/>
        <v>458161.25</v>
      </c>
      <c r="GR46">
        <v>0</v>
      </c>
      <c r="GS46">
        <v>3</v>
      </c>
      <c r="GT46">
        <v>0</v>
      </c>
      <c r="GU46" t="s">
        <v>3</v>
      </c>
      <c r="GV46">
        <f t="shared" si="57"/>
        <v>0</v>
      </c>
      <c r="GW46">
        <v>1</v>
      </c>
      <c r="GX46">
        <f t="shared" si="58"/>
        <v>0</v>
      </c>
      <c r="HA46">
        <v>0</v>
      </c>
      <c r="HB46">
        <v>0</v>
      </c>
      <c r="HC46">
        <f t="shared" si="59"/>
        <v>0</v>
      </c>
      <c r="HE46" t="s">
        <v>3</v>
      </c>
      <c r="HF46" t="s">
        <v>3</v>
      </c>
      <c r="HM46" t="s">
        <v>3</v>
      </c>
      <c r="HN46" t="s">
        <v>3</v>
      </c>
      <c r="HO46" t="s">
        <v>3</v>
      </c>
      <c r="HP46" t="s">
        <v>3</v>
      </c>
      <c r="HQ46" t="s">
        <v>3</v>
      </c>
      <c r="HS46">
        <v>0</v>
      </c>
      <c r="IK46">
        <v>0</v>
      </c>
    </row>
    <row r="47" spans="1:245" x14ac:dyDescent="0.25">
      <c r="A47">
        <v>17</v>
      </c>
      <c r="B47">
        <v>1</v>
      </c>
      <c r="C47">
        <f>ROW(SmtRes!A24)</f>
        <v>24</v>
      </c>
      <c r="D47">
        <f>ROW(EtalonRes!A24)</f>
        <v>24</v>
      </c>
      <c r="E47" t="s">
        <v>91</v>
      </c>
      <c r="F47" t="s">
        <v>92</v>
      </c>
      <c r="G47" t="s">
        <v>93</v>
      </c>
      <c r="H47" t="s">
        <v>88</v>
      </c>
      <c r="I47">
        <v>1.27</v>
      </c>
      <c r="J47">
        <v>0</v>
      </c>
      <c r="K47">
        <v>1.27</v>
      </c>
      <c r="O47">
        <f t="shared" si="28"/>
        <v>72804.210000000006</v>
      </c>
      <c r="P47">
        <f t="shared" si="29"/>
        <v>36116.83</v>
      </c>
      <c r="Q47">
        <f t="shared" si="30"/>
        <v>0</v>
      </c>
      <c r="R47">
        <f t="shared" si="31"/>
        <v>0</v>
      </c>
      <c r="S47">
        <f t="shared" si="32"/>
        <v>36687.379999999997</v>
      </c>
      <c r="T47">
        <f t="shared" si="33"/>
        <v>0</v>
      </c>
      <c r="U47">
        <f t="shared" si="34"/>
        <v>80.962500000000006</v>
      </c>
      <c r="V47">
        <f t="shared" si="35"/>
        <v>0</v>
      </c>
      <c r="W47">
        <f t="shared" si="36"/>
        <v>0</v>
      </c>
      <c r="X47">
        <f t="shared" si="37"/>
        <v>25681.17</v>
      </c>
      <c r="Y47">
        <f t="shared" si="38"/>
        <v>3668.74</v>
      </c>
      <c r="AA47">
        <v>80889732</v>
      </c>
      <c r="AB47">
        <f t="shared" si="39"/>
        <v>57326.15</v>
      </c>
      <c r="AC47">
        <f>ROUND(((ES47*5)),6)</f>
        <v>28438.45</v>
      </c>
      <c r="AD47">
        <f>ROUND(((((ET47*5))-((EU47*5)))+AE47),6)</f>
        <v>0</v>
      </c>
      <c r="AE47">
        <f>ROUND(((EU47*5)),6)</f>
        <v>0</v>
      </c>
      <c r="AF47">
        <f>ROUND(((EV47*5)),6)</f>
        <v>28887.7</v>
      </c>
      <c r="AG47">
        <f t="shared" si="40"/>
        <v>0</v>
      </c>
      <c r="AH47">
        <f>((EW47*5))</f>
        <v>63.75</v>
      </c>
      <c r="AI47">
        <f>((EX47*5))</f>
        <v>0</v>
      </c>
      <c r="AJ47">
        <f t="shared" si="41"/>
        <v>0</v>
      </c>
      <c r="AK47">
        <v>11465.23</v>
      </c>
      <c r="AL47">
        <v>5687.69</v>
      </c>
      <c r="AM47">
        <v>0</v>
      </c>
      <c r="AN47">
        <v>0</v>
      </c>
      <c r="AO47">
        <v>5777.54</v>
      </c>
      <c r="AP47">
        <v>0</v>
      </c>
      <c r="AQ47">
        <v>12.75</v>
      </c>
      <c r="AR47">
        <v>0</v>
      </c>
      <c r="AS47">
        <v>0</v>
      </c>
      <c r="AT47">
        <v>70</v>
      </c>
      <c r="AU47">
        <v>10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1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4</v>
      </c>
      <c r="BJ47" t="s">
        <v>94</v>
      </c>
      <c r="BM47">
        <v>0</v>
      </c>
      <c r="BN47">
        <v>0</v>
      </c>
      <c r="BO47" t="s">
        <v>3</v>
      </c>
      <c r="BP47">
        <v>0</v>
      </c>
      <c r="BQ47">
        <v>1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70</v>
      </c>
      <c r="CA47">
        <v>10</v>
      </c>
      <c r="CB47" t="s">
        <v>3</v>
      </c>
      <c r="CE47">
        <v>0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42"/>
        <v>72804.209999999992</v>
      </c>
      <c r="CQ47">
        <f t="shared" si="43"/>
        <v>28438.45</v>
      </c>
      <c r="CR47">
        <f>(((((ET47*5))*BB47-((EU47*5))*BS47)+AE47*BS47)*AV47)</f>
        <v>0</v>
      </c>
      <c r="CS47">
        <f t="shared" si="44"/>
        <v>0</v>
      </c>
      <c r="CT47">
        <f t="shared" si="45"/>
        <v>28887.7</v>
      </c>
      <c r="CU47">
        <f t="shared" si="46"/>
        <v>0</v>
      </c>
      <c r="CV47">
        <f t="shared" si="47"/>
        <v>63.75</v>
      </c>
      <c r="CW47">
        <f t="shared" si="48"/>
        <v>0</v>
      </c>
      <c r="CX47">
        <f t="shared" si="49"/>
        <v>0</v>
      </c>
      <c r="CY47">
        <f t="shared" si="50"/>
        <v>25681.165999999997</v>
      </c>
      <c r="CZ47">
        <f t="shared" si="51"/>
        <v>3668.7379999999998</v>
      </c>
      <c r="DC47" t="s">
        <v>3</v>
      </c>
      <c r="DD47" t="s">
        <v>95</v>
      </c>
      <c r="DE47" t="s">
        <v>95</v>
      </c>
      <c r="DF47" t="s">
        <v>95</v>
      </c>
      <c r="DG47" t="s">
        <v>95</v>
      </c>
      <c r="DH47" t="s">
        <v>3</v>
      </c>
      <c r="DI47" t="s">
        <v>95</v>
      </c>
      <c r="DJ47" t="s">
        <v>95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1010</v>
      </c>
      <c r="DV47" t="s">
        <v>88</v>
      </c>
      <c r="DW47" t="s">
        <v>88</v>
      </c>
      <c r="DX47">
        <v>100</v>
      </c>
      <c r="DZ47" t="s">
        <v>3</v>
      </c>
      <c r="EA47" t="s">
        <v>3</v>
      </c>
      <c r="EB47" t="s">
        <v>3</v>
      </c>
      <c r="EC47" t="s">
        <v>3</v>
      </c>
      <c r="EE47">
        <v>80196140</v>
      </c>
      <c r="EF47">
        <v>1</v>
      </c>
      <c r="EG47" t="s">
        <v>23</v>
      </c>
      <c r="EH47">
        <v>0</v>
      </c>
      <c r="EI47" t="s">
        <v>3</v>
      </c>
      <c r="EJ47">
        <v>4</v>
      </c>
      <c r="EK47">
        <v>0</v>
      </c>
      <c r="EL47" t="s">
        <v>24</v>
      </c>
      <c r="EM47" t="s">
        <v>25</v>
      </c>
      <c r="EO47" t="s">
        <v>3</v>
      </c>
      <c r="EQ47">
        <v>0</v>
      </c>
      <c r="ER47">
        <v>11465.23</v>
      </c>
      <c r="ES47">
        <v>5687.69</v>
      </c>
      <c r="ET47">
        <v>0</v>
      </c>
      <c r="EU47">
        <v>0</v>
      </c>
      <c r="EV47">
        <v>5777.54</v>
      </c>
      <c r="EW47">
        <v>12.75</v>
      </c>
      <c r="EX47">
        <v>0</v>
      </c>
      <c r="EY47">
        <v>0</v>
      </c>
      <c r="FQ47">
        <v>0</v>
      </c>
      <c r="FR47">
        <v>0</v>
      </c>
      <c r="FS47">
        <v>0</v>
      </c>
      <c r="FX47">
        <v>70</v>
      </c>
      <c r="FY47">
        <v>10</v>
      </c>
      <c r="GA47" t="s">
        <v>3</v>
      </c>
      <c r="GD47">
        <v>0</v>
      </c>
      <c r="GF47">
        <v>-451448609</v>
      </c>
      <c r="GG47">
        <v>2</v>
      </c>
      <c r="GH47">
        <v>1</v>
      </c>
      <c r="GI47">
        <v>-2</v>
      </c>
      <c r="GJ47">
        <v>0</v>
      </c>
      <c r="GK47">
        <f>ROUND(R47*(R12)/100,2)</f>
        <v>0</v>
      </c>
      <c r="GL47">
        <f t="shared" si="52"/>
        <v>0</v>
      </c>
      <c r="GM47">
        <f t="shared" si="53"/>
        <v>102154.12</v>
      </c>
      <c r="GN47">
        <f t="shared" si="54"/>
        <v>0</v>
      </c>
      <c r="GO47">
        <f t="shared" si="55"/>
        <v>0</v>
      </c>
      <c r="GP47">
        <f t="shared" si="56"/>
        <v>102154.12</v>
      </c>
      <c r="GR47">
        <v>0</v>
      </c>
      <c r="GS47">
        <v>3</v>
      </c>
      <c r="GT47">
        <v>0</v>
      </c>
      <c r="GU47" t="s">
        <v>3</v>
      </c>
      <c r="GV47">
        <f t="shared" si="57"/>
        <v>0</v>
      </c>
      <c r="GW47">
        <v>1</v>
      </c>
      <c r="GX47">
        <f t="shared" si="58"/>
        <v>0</v>
      </c>
      <c r="HA47">
        <v>0</v>
      </c>
      <c r="HB47">
        <v>0</v>
      </c>
      <c r="HC47">
        <f t="shared" si="59"/>
        <v>0</v>
      </c>
      <c r="HE47" t="s">
        <v>3</v>
      </c>
      <c r="HF47" t="s">
        <v>3</v>
      </c>
      <c r="HM47" t="s">
        <v>3</v>
      </c>
      <c r="HN47" t="s">
        <v>3</v>
      </c>
      <c r="HO47" t="s">
        <v>3</v>
      </c>
      <c r="HP47" t="s">
        <v>3</v>
      </c>
      <c r="HQ47" t="s">
        <v>3</v>
      </c>
      <c r="HS47">
        <v>0</v>
      </c>
      <c r="IK47">
        <v>0</v>
      </c>
    </row>
    <row r="48" spans="1:245" x14ac:dyDescent="0.25">
      <c r="A48">
        <v>18</v>
      </c>
      <c r="B48">
        <v>1</v>
      </c>
      <c r="C48">
        <v>23</v>
      </c>
      <c r="E48" t="s">
        <v>96</v>
      </c>
      <c r="F48" t="s">
        <v>37</v>
      </c>
      <c r="G48" t="s">
        <v>38</v>
      </c>
      <c r="H48" t="s">
        <v>39</v>
      </c>
      <c r="I48">
        <f>I47*J48</f>
        <v>-9.5250000000000004</v>
      </c>
      <c r="J48">
        <v>-7.5</v>
      </c>
      <c r="K48">
        <v>-1.5</v>
      </c>
      <c r="O48">
        <f t="shared" si="28"/>
        <v>-522.07000000000005</v>
      </c>
      <c r="P48">
        <f t="shared" si="29"/>
        <v>-522.07000000000005</v>
      </c>
      <c r="Q48">
        <f t="shared" si="30"/>
        <v>0</v>
      </c>
      <c r="R48">
        <f t="shared" si="31"/>
        <v>0</v>
      </c>
      <c r="S48">
        <f t="shared" si="32"/>
        <v>0</v>
      </c>
      <c r="T48">
        <f t="shared" si="33"/>
        <v>0</v>
      </c>
      <c r="U48">
        <f t="shared" si="34"/>
        <v>0</v>
      </c>
      <c r="V48">
        <f t="shared" si="35"/>
        <v>0</v>
      </c>
      <c r="W48">
        <f t="shared" si="36"/>
        <v>0</v>
      </c>
      <c r="X48">
        <f t="shared" si="37"/>
        <v>0</v>
      </c>
      <c r="Y48">
        <f t="shared" si="38"/>
        <v>0</v>
      </c>
      <c r="AA48">
        <v>80889732</v>
      </c>
      <c r="AB48">
        <f t="shared" si="39"/>
        <v>54.81</v>
      </c>
      <c r="AC48">
        <f>ROUND((ES48),6)</f>
        <v>54.81</v>
      </c>
      <c r="AD48">
        <f>ROUND((((ET48)-(EU48))+AE48),6)</f>
        <v>0</v>
      </c>
      <c r="AE48">
        <f>ROUND((EU48),6)</f>
        <v>0</v>
      </c>
      <c r="AF48">
        <f>ROUND((EV48),6)</f>
        <v>0</v>
      </c>
      <c r="AG48">
        <f t="shared" si="40"/>
        <v>0</v>
      </c>
      <c r="AH48">
        <f>(EW48)</f>
        <v>0</v>
      </c>
      <c r="AI48">
        <f>(EX48)</f>
        <v>0</v>
      </c>
      <c r="AJ48">
        <f t="shared" si="41"/>
        <v>0</v>
      </c>
      <c r="AK48">
        <v>54.81</v>
      </c>
      <c r="AL48">
        <v>54.81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70</v>
      </c>
      <c r="AU48">
        <v>10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</v>
      </c>
      <c r="BD48" t="s">
        <v>3</v>
      </c>
      <c r="BE48" t="s">
        <v>3</v>
      </c>
      <c r="BF48" t="s">
        <v>3</v>
      </c>
      <c r="BG48" t="s">
        <v>3</v>
      </c>
      <c r="BH48">
        <v>3</v>
      </c>
      <c r="BI48">
        <v>4</v>
      </c>
      <c r="BJ48" t="s">
        <v>40</v>
      </c>
      <c r="BM48">
        <v>0</v>
      </c>
      <c r="BN48">
        <v>0</v>
      </c>
      <c r="BO48" t="s">
        <v>3</v>
      </c>
      <c r="BP48">
        <v>0</v>
      </c>
      <c r="BQ48">
        <v>1</v>
      </c>
      <c r="BR48">
        <v>1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70</v>
      </c>
      <c r="CA48">
        <v>10</v>
      </c>
      <c r="CB48" t="s">
        <v>3</v>
      </c>
      <c r="CE48">
        <v>0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42"/>
        <v>-522.07000000000005</v>
      </c>
      <c r="CQ48">
        <f t="shared" si="43"/>
        <v>54.81</v>
      </c>
      <c r="CR48">
        <f>((((ET48)*BB48-(EU48)*BS48)+AE48*BS48)*AV48)</f>
        <v>0</v>
      </c>
      <c r="CS48">
        <f t="shared" si="44"/>
        <v>0</v>
      </c>
      <c r="CT48">
        <f t="shared" si="45"/>
        <v>0</v>
      </c>
      <c r="CU48">
        <f t="shared" si="46"/>
        <v>0</v>
      </c>
      <c r="CV48">
        <f t="shared" si="47"/>
        <v>0</v>
      </c>
      <c r="CW48">
        <f t="shared" si="48"/>
        <v>0</v>
      </c>
      <c r="CX48">
        <f t="shared" si="49"/>
        <v>0</v>
      </c>
      <c r="CY48">
        <f t="shared" si="50"/>
        <v>0</v>
      </c>
      <c r="CZ48">
        <f t="shared" si="51"/>
        <v>0</v>
      </c>
      <c r="DC48" t="s">
        <v>3</v>
      </c>
      <c r="DD48" t="s">
        <v>3</v>
      </c>
      <c r="DE48" t="s">
        <v>3</v>
      </c>
      <c r="DF48" t="s">
        <v>3</v>
      </c>
      <c r="DG48" t="s">
        <v>3</v>
      </c>
      <c r="DH48" t="s">
        <v>3</v>
      </c>
      <c r="DI48" t="s">
        <v>3</v>
      </c>
      <c r="DJ48" t="s">
        <v>3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1007</v>
      </c>
      <c r="DV48" t="s">
        <v>39</v>
      </c>
      <c r="DW48" t="s">
        <v>39</v>
      </c>
      <c r="DX48">
        <v>1</v>
      </c>
      <c r="DZ48" t="s">
        <v>3</v>
      </c>
      <c r="EA48" t="s">
        <v>3</v>
      </c>
      <c r="EB48" t="s">
        <v>3</v>
      </c>
      <c r="EC48" t="s">
        <v>3</v>
      </c>
      <c r="EE48">
        <v>80196140</v>
      </c>
      <c r="EF48">
        <v>1</v>
      </c>
      <c r="EG48" t="s">
        <v>23</v>
      </c>
      <c r="EH48">
        <v>0</v>
      </c>
      <c r="EI48" t="s">
        <v>3</v>
      </c>
      <c r="EJ48">
        <v>4</v>
      </c>
      <c r="EK48">
        <v>0</v>
      </c>
      <c r="EL48" t="s">
        <v>24</v>
      </c>
      <c r="EM48" t="s">
        <v>25</v>
      </c>
      <c r="EO48" t="s">
        <v>3</v>
      </c>
      <c r="EQ48">
        <v>0</v>
      </c>
      <c r="ER48">
        <v>54.81</v>
      </c>
      <c r="ES48">
        <v>54.81</v>
      </c>
      <c r="ET48">
        <v>0</v>
      </c>
      <c r="EU48">
        <v>0</v>
      </c>
      <c r="EV48">
        <v>0</v>
      </c>
      <c r="EW48">
        <v>0</v>
      </c>
      <c r="EX48">
        <v>0</v>
      </c>
      <c r="FQ48">
        <v>0</v>
      </c>
      <c r="FR48">
        <v>0</v>
      </c>
      <c r="FS48">
        <v>0</v>
      </c>
      <c r="FX48">
        <v>70</v>
      </c>
      <c r="FY48">
        <v>10</v>
      </c>
      <c r="GA48" t="s">
        <v>3</v>
      </c>
      <c r="GD48">
        <v>0</v>
      </c>
      <c r="GF48">
        <v>2112060389</v>
      </c>
      <c r="GG48">
        <v>2</v>
      </c>
      <c r="GH48">
        <v>1</v>
      </c>
      <c r="GI48">
        <v>-2</v>
      </c>
      <c r="GJ48">
        <v>0</v>
      </c>
      <c r="GK48">
        <f>ROUND(R48*(R12)/100,2)</f>
        <v>0</v>
      </c>
      <c r="GL48">
        <f t="shared" si="52"/>
        <v>0</v>
      </c>
      <c r="GM48">
        <f t="shared" si="53"/>
        <v>-522.07000000000005</v>
      </c>
      <c r="GN48">
        <f t="shared" si="54"/>
        <v>0</v>
      </c>
      <c r="GO48">
        <f t="shared" si="55"/>
        <v>0</v>
      </c>
      <c r="GP48">
        <f t="shared" si="56"/>
        <v>-522.07000000000005</v>
      </c>
      <c r="GR48">
        <v>0</v>
      </c>
      <c r="GS48">
        <v>3</v>
      </c>
      <c r="GT48">
        <v>0</v>
      </c>
      <c r="GU48" t="s">
        <v>3</v>
      </c>
      <c r="GV48">
        <f t="shared" si="57"/>
        <v>0</v>
      </c>
      <c r="GW48">
        <v>1</v>
      </c>
      <c r="GX48">
        <f t="shared" si="58"/>
        <v>0</v>
      </c>
      <c r="HA48">
        <v>0</v>
      </c>
      <c r="HB48">
        <v>0</v>
      </c>
      <c r="HC48">
        <f t="shared" si="59"/>
        <v>0</v>
      </c>
      <c r="HE48" t="s">
        <v>3</v>
      </c>
      <c r="HF48" t="s">
        <v>3</v>
      </c>
      <c r="HM48" t="s">
        <v>95</v>
      </c>
      <c r="HN48" t="s">
        <v>3</v>
      </c>
      <c r="HO48" t="s">
        <v>3</v>
      </c>
      <c r="HP48" t="s">
        <v>3</v>
      </c>
      <c r="HQ48" t="s">
        <v>3</v>
      </c>
      <c r="HS48">
        <v>0</v>
      </c>
      <c r="IK48">
        <v>0</v>
      </c>
    </row>
    <row r="49" spans="1:245" x14ac:dyDescent="0.25">
      <c r="A49">
        <v>17</v>
      </c>
      <c r="B49">
        <v>1</v>
      </c>
      <c r="C49">
        <f>ROW(SmtRes!A25)</f>
        <v>25</v>
      </c>
      <c r="D49">
        <f>ROW(EtalonRes!A25)</f>
        <v>25</v>
      </c>
      <c r="E49" t="s">
        <v>97</v>
      </c>
      <c r="F49" t="s">
        <v>98</v>
      </c>
      <c r="G49" t="s">
        <v>99</v>
      </c>
      <c r="H49" t="s">
        <v>39</v>
      </c>
      <c r="I49">
        <v>3713.46</v>
      </c>
      <c r="J49">
        <v>0</v>
      </c>
      <c r="K49">
        <v>3713.46</v>
      </c>
      <c r="O49">
        <f t="shared" si="28"/>
        <v>387016.8</v>
      </c>
      <c r="P49">
        <f t="shared" si="29"/>
        <v>0</v>
      </c>
      <c r="Q49">
        <f t="shared" si="30"/>
        <v>0</v>
      </c>
      <c r="R49">
        <f t="shared" si="31"/>
        <v>0</v>
      </c>
      <c r="S49">
        <f t="shared" si="32"/>
        <v>387016.8</v>
      </c>
      <c r="T49">
        <f t="shared" si="33"/>
        <v>0</v>
      </c>
      <c r="U49">
        <f t="shared" si="34"/>
        <v>854.09580000000005</v>
      </c>
      <c r="V49">
        <f t="shared" si="35"/>
        <v>0</v>
      </c>
      <c r="W49">
        <f t="shared" si="36"/>
        <v>0</v>
      </c>
      <c r="X49">
        <f t="shared" si="37"/>
        <v>270911.76</v>
      </c>
      <c r="Y49">
        <f t="shared" si="38"/>
        <v>38701.68</v>
      </c>
      <c r="AA49">
        <v>80889732</v>
      </c>
      <c r="AB49">
        <f t="shared" si="39"/>
        <v>104.22</v>
      </c>
      <c r="AC49">
        <f>ROUND((ES49),6)</f>
        <v>0</v>
      </c>
      <c r="AD49">
        <f>ROUND((((ET49)-(EU49))+AE49),6)</f>
        <v>0</v>
      </c>
      <c r="AE49">
        <f>ROUND((EU49),6)</f>
        <v>0</v>
      </c>
      <c r="AF49">
        <f>ROUND((EV49),6)</f>
        <v>104.22</v>
      </c>
      <c r="AG49">
        <f t="shared" si="40"/>
        <v>0</v>
      </c>
      <c r="AH49">
        <f>(EW49)</f>
        <v>0.23</v>
      </c>
      <c r="AI49">
        <f>(EX49)</f>
        <v>0</v>
      </c>
      <c r="AJ49">
        <f t="shared" si="41"/>
        <v>0</v>
      </c>
      <c r="AK49">
        <v>104.22</v>
      </c>
      <c r="AL49">
        <v>0</v>
      </c>
      <c r="AM49">
        <v>0</v>
      </c>
      <c r="AN49">
        <v>0</v>
      </c>
      <c r="AO49">
        <v>104.22</v>
      </c>
      <c r="AP49">
        <v>0</v>
      </c>
      <c r="AQ49">
        <v>0.23</v>
      </c>
      <c r="AR49">
        <v>0</v>
      </c>
      <c r="AS49">
        <v>0</v>
      </c>
      <c r="AT49">
        <v>70</v>
      </c>
      <c r="AU49">
        <v>10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1</v>
      </c>
      <c r="BD49" t="s">
        <v>3</v>
      </c>
      <c r="BE49" t="s">
        <v>3</v>
      </c>
      <c r="BF49" t="s">
        <v>3</v>
      </c>
      <c r="BG49" t="s">
        <v>3</v>
      </c>
      <c r="BH49">
        <v>0</v>
      </c>
      <c r="BI49">
        <v>4</v>
      </c>
      <c r="BJ49" t="s">
        <v>100</v>
      </c>
      <c r="BM49">
        <v>0</v>
      </c>
      <c r="BN49">
        <v>0</v>
      </c>
      <c r="BO49" t="s">
        <v>3</v>
      </c>
      <c r="BP49">
        <v>0</v>
      </c>
      <c r="BQ49">
        <v>1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70</v>
      </c>
      <c r="CA49">
        <v>10</v>
      </c>
      <c r="CB49" t="s">
        <v>3</v>
      </c>
      <c r="CE49">
        <v>0</v>
      </c>
      <c r="CF49">
        <v>0</v>
      </c>
      <c r="CG49">
        <v>0</v>
      </c>
      <c r="CM49">
        <v>0</v>
      </c>
      <c r="CN49" t="s">
        <v>3</v>
      </c>
      <c r="CO49">
        <v>0</v>
      </c>
      <c r="CP49">
        <f t="shared" si="42"/>
        <v>387016.8</v>
      </c>
      <c r="CQ49">
        <f t="shared" si="43"/>
        <v>0</v>
      </c>
      <c r="CR49">
        <f>((((ET49)*BB49-(EU49)*BS49)+AE49*BS49)*AV49)</f>
        <v>0</v>
      </c>
      <c r="CS49">
        <f t="shared" si="44"/>
        <v>0</v>
      </c>
      <c r="CT49">
        <f t="shared" si="45"/>
        <v>104.22</v>
      </c>
      <c r="CU49">
        <f t="shared" si="46"/>
        <v>0</v>
      </c>
      <c r="CV49">
        <f t="shared" si="47"/>
        <v>0.23</v>
      </c>
      <c r="CW49">
        <f t="shared" si="48"/>
        <v>0</v>
      </c>
      <c r="CX49">
        <f t="shared" si="49"/>
        <v>0</v>
      </c>
      <c r="CY49">
        <f t="shared" si="50"/>
        <v>270911.76</v>
      </c>
      <c r="CZ49">
        <f t="shared" si="51"/>
        <v>38701.68</v>
      </c>
      <c r="DC49" t="s">
        <v>3</v>
      </c>
      <c r="DD49" t="s">
        <v>3</v>
      </c>
      <c r="DE49" t="s">
        <v>3</v>
      </c>
      <c r="DF49" t="s">
        <v>3</v>
      </c>
      <c r="DG49" t="s">
        <v>3</v>
      </c>
      <c r="DH49" t="s">
        <v>3</v>
      </c>
      <c r="DI49" t="s">
        <v>3</v>
      </c>
      <c r="DJ49" t="s">
        <v>3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1007</v>
      </c>
      <c r="DV49" t="s">
        <v>39</v>
      </c>
      <c r="DW49" t="s">
        <v>39</v>
      </c>
      <c r="DX49">
        <v>1</v>
      </c>
      <c r="DZ49" t="s">
        <v>3</v>
      </c>
      <c r="EA49" t="s">
        <v>3</v>
      </c>
      <c r="EB49" t="s">
        <v>3</v>
      </c>
      <c r="EC49" t="s">
        <v>3</v>
      </c>
      <c r="EE49">
        <v>80196140</v>
      </c>
      <c r="EF49">
        <v>1</v>
      </c>
      <c r="EG49" t="s">
        <v>23</v>
      </c>
      <c r="EH49">
        <v>0</v>
      </c>
      <c r="EI49" t="s">
        <v>3</v>
      </c>
      <c r="EJ49">
        <v>4</v>
      </c>
      <c r="EK49">
        <v>0</v>
      </c>
      <c r="EL49" t="s">
        <v>24</v>
      </c>
      <c r="EM49" t="s">
        <v>25</v>
      </c>
      <c r="EO49" t="s">
        <v>3</v>
      </c>
      <c r="EQ49">
        <v>0</v>
      </c>
      <c r="ER49">
        <v>104.22</v>
      </c>
      <c r="ES49">
        <v>0</v>
      </c>
      <c r="ET49">
        <v>0</v>
      </c>
      <c r="EU49">
        <v>0</v>
      </c>
      <c r="EV49">
        <v>104.22</v>
      </c>
      <c r="EW49">
        <v>0.23</v>
      </c>
      <c r="EX49">
        <v>0</v>
      </c>
      <c r="EY49">
        <v>0</v>
      </c>
      <c r="FQ49">
        <v>0</v>
      </c>
      <c r="FR49">
        <v>0</v>
      </c>
      <c r="FS49">
        <v>0</v>
      </c>
      <c r="FX49">
        <v>70</v>
      </c>
      <c r="FY49">
        <v>10</v>
      </c>
      <c r="GA49" t="s">
        <v>3</v>
      </c>
      <c r="GD49">
        <v>0</v>
      </c>
      <c r="GF49">
        <v>-315017045</v>
      </c>
      <c r="GG49">
        <v>2</v>
      </c>
      <c r="GH49">
        <v>1</v>
      </c>
      <c r="GI49">
        <v>-2</v>
      </c>
      <c r="GJ49">
        <v>0</v>
      </c>
      <c r="GK49">
        <f>ROUND(R49*(R12)/100,2)</f>
        <v>0</v>
      </c>
      <c r="GL49">
        <f t="shared" si="52"/>
        <v>0</v>
      </c>
      <c r="GM49">
        <f t="shared" si="53"/>
        <v>696630.24</v>
      </c>
      <c r="GN49">
        <f t="shared" si="54"/>
        <v>0</v>
      </c>
      <c r="GO49">
        <f t="shared" si="55"/>
        <v>0</v>
      </c>
      <c r="GP49">
        <f t="shared" si="56"/>
        <v>696630.24</v>
      </c>
      <c r="GR49">
        <v>0</v>
      </c>
      <c r="GS49">
        <v>3</v>
      </c>
      <c r="GT49">
        <v>0</v>
      </c>
      <c r="GU49" t="s">
        <v>3</v>
      </c>
      <c r="GV49">
        <f t="shared" si="57"/>
        <v>0</v>
      </c>
      <c r="GW49">
        <v>1</v>
      </c>
      <c r="GX49">
        <f t="shared" si="58"/>
        <v>0</v>
      </c>
      <c r="HA49">
        <v>0</v>
      </c>
      <c r="HB49">
        <v>0</v>
      </c>
      <c r="HC49">
        <f t="shared" si="59"/>
        <v>0</v>
      </c>
      <c r="HE49" t="s">
        <v>3</v>
      </c>
      <c r="HF49" t="s">
        <v>3</v>
      </c>
      <c r="HM49" t="s">
        <v>3</v>
      </c>
      <c r="HN49" t="s">
        <v>3</v>
      </c>
      <c r="HO49" t="s">
        <v>3</v>
      </c>
      <c r="HP49" t="s">
        <v>3</v>
      </c>
      <c r="HQ49" t="s">
        <v>3</v>
      </c>
      <c r="HS49">
        <v>0</v>
      </c>
      <c r="IK49">
        <v>0</v>
      </c>
    </row>
    <row r="50" spans="1:245" x14ac:dyDescent="0.25">
      <c r="A50">
        <v>17</v>
      </c>
      <c r="B50">
        <v>1</v>
      </c>
      <c r="C50">
        <f>ROW(SmtRes!A26)</f>
        <v>26</v>
      </c>
      <c r="D50">
        <f>ROW(EtalonRes!A26)</f>
        <v>26</v>
      </c>
      <c r="E50" t="s">
        <v>101</v>
      </c>
      <c r="F50" t="s">
        <v>102</v>
      </c>
      <c r="G50" t="s">
        <v>103</v>
      </c>
      <c r="H50" t="s">
        <v>29</v>
      </c>
      <c r="I50">
        <v>0.46800000000000003</v>
      </c>
      <c r="J50">
        <v>0</v>
      </c>
      <c r="K50">
        <v>0.46800000000000003</v>
      </c>
      <c r="O50">
        <f t="shared" si="28"/>
        <v>108778.74</v>
      </c>
      <c r="P50">
        <f t="shared" si="29"/>
        <v>0</v>
      </c>
      <c r="Q50">
        <f t="shared" si="30"/>
        <v>0</v>
      </c>
      <c r="R50">
        <f t="shared" si="31"/>
        <v>0</v>
      </c>
      <c r="S50">
        <f t="shared" si="32"/>
        <v>108778.74</v>
      </c>
      <c r="T50">
        <f t="shared" si="33"/>
        <v>0</v>
      </c>
      <c r="U50">
        <f t="shared" si="34"/>
        <v>240.05591999999999</v>
      </c>
      <c r="V50">
        <f t="shared" si="35"/>
        <v>0</v>
      </c>
      <c r="W50">
        <f t="shared" si="36"/>
        <v>0</v>
      </c>
      <c r="X50">
        <f t="shared" si="37"/>
        <v>76145.119999999995</v>
      </c>
      <c r="Y50">
        <f t="shared" si="38"/>
        <v>10877.87</v>
      </c>
      <c r="AA50">
        <v>80889732</v>
      </c>
      <c r="AB50">
        <f t="shared" si="39"/>
        <v>232433.2</v>
      </c>
      <c r="AC50">
        <f>ROUND(((ES50*166)),6)</f>
        <v>0</v>
      </c>
      <c r="AD50">
        <f>ROUND(((((ET50*166))-((EU50*166)))+AE50),6)</f>
        <v>0</v>
      </c>
      <c r="AE50">
        <f>ROUND(((EU50*166)),6)</f>
        <v>0</v>
      </c>
      <c r="AF50">
        <f>ROUND(((EV50*166)),6)</f>
        <v>232433.2</v>
      </c>
      <c r="AG50">
        <f t="shared" si="40"/>
        <v>0</v>
      </c>
      <c r="AH50">
        <f>((EW50*166))</f>
        <v>512.93999999999994</v>
      </c>
      <c r="AI50">
        <f>((EX50*166))</f>
        <v>0</v>
      </c>
      <c r="AJ50">
        <f t="shared" si="41"/>
        <v>0</v>
      </c>
      <c r="AK50">
        <v>1400.2</v>
      </c>
      <c r="AL50">
        <v>0</v>
      </c>
      <c r="AM50">
        <v>0</v>
      </c>
      <c r="AN50">
        <v>0</v>
      </c>
      <c r="AO50">
        <v>1400.2</v>
      </c>
      <c r="AP50">
        <v>0</v>
      </c>
      <c r="AQ50">
        <v>3.09</v>
      </c>
      <c r="AR50">
        <v>0</v>
      </c>
      <c r="AS50">
        <v>0</v>
      </c>
      <c r="AT50">
        <v>70</v>
      </c>
      <c r="AU50">
        <v>10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1</v>
      </c>
      <c r="BD50" t="s">
        <v>3</v>
      </c>
      <c r="BE50" t="s">
        <v>3</v>
      </c>
      <c r="BF50" t="s">
        <v>3</v>
      </c>
      <c r="BG50" t="s">
        <v>3</v>
      </c>
      <c r="BH50">
        <v>0</v>
      </c>
      <c r="BI50">
        <v>4</v>
      </c>
      <c r="BJ50" t="s">
        <v>104</v>
      </c>
      <c r="BM50">
        <v>0</v>
      </c>
      <c r="BN50">
        <v>0</v>
      </c>
      <c r="BO50" t="s">
        <v>3</v>
      </c>
      <c r="BP50">
        <v>0</v>
      </c>
      <c r="BQ50">
        <v>1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70</v>
      </c>
      <c r="CA50">
        <v>10</v>
      </c>
      <c r="CB50" t="s">
        <v>3</v>
      </c>
      <c r="CE50">
        <v>0</v>
      </c>
      <c r="CF50">
        <v>0</v>
      </c>
      <c r="CG50">
        <v>0</v>
      </c>
      <c r="CM50">
        <v>0</v>
      </c>
      <c r="CN50" t="s">
        <v>3</v>
      </c>
      <c r="CO50">
        <v>0</v>
      </c>
      <c r="CP50">
        <f t="shared" si="42"/>
        <v>108778.74</v>
      </c>
      <c r="CQ50">
        <f t="shared" si="43"/>
        <v>0</v>
      </c>
      <c r="CR50">
        <f>(((((ET50*166))*BB50-((EU50*166))*BS50)+AE50*BS50)*AV50)</f>
        <v>0</v>
      </c>
      <c r="CS50">
        <f t="shared" si="44"/>
        <v>0</v>
      </c>
      <c r="CT50">
        <f t="shared" si="45"/>
        <v>232433.2</v>
      </c>
      <c r="CU50">
        <f t="shared" si="46"/>
        <v>0</v>
      </c>
      <c r="CV50">
        <f t="shared" si="47"/>
        <v>512.93999999999994</v>
      </c>
      <c r="CW50">
        <f t="shared" si="48"/>
        <v>0</v>
      </c>
      <c r="CX50">
        <f t="shared" si="49"/>
        <v>0</v>
      </c>
      <c r="CY50">
        <f t="shared" si="50"/>
        <v>76145.118000000002</v>
      </c>
      <c r="CZ50">
        <f t="shared" si="51"/>
        <v>10877.874000000002</v>
      </c>
      <c r="DC50" t="s">
        <v>3</v>
      </c>
      <c r="DD50" t="s">
        <v>105</v>
      </c>
      <c r="DE50" t="s">
        <v>105</v>
      </c>
      <c r="DF50" t="s">
        <v>105</v>
      </c>
      <c r="DG50" t="s">
        <v>105</v>
      </c>
      <c r="DH50" t="s">
        <v>3</v>
      </c>
      <c r="DI50" t="s">
        <v>105</v>
      </c>
      <c r="DJ50" t="s">
        <v>105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1005</v>
      </c>
      <c r="DV50" t="s">
        <v>29</v>
      </c>
      <c r="DW50" t="s">
        <v>29</v>
      </c>
      <c r="DX50">
        <v>100</v>
      </c>
      <c r="DZ50" t="s">
        <v>3</v>
      </c>
      <c r="EA50" t="s">
        <v>3</v>
      </c>
      <c r="EB50" t="s">
        <v>3</v>
      </c>
      <c r="EC50" t="s">
        <v>3</v>
      </c>
      <c r="EE50">
        <v>80196140</v>
      </c>
      <c r="EF50">
        <v>1</v>
      </c>
      <c r="EG50" t="s">
        <v>23</v>
      </c>
      <c r="EH50">
        <v>0</v>
      </c>
      <c r="EI50" t="s">
        <v>3</v>
      </c>
      <c r="EJ50">
        <v>4</v>
      </c>
      <c r="EK50">
        <v>0</v>
      </c>
      <c r="EL50" t="s">
        <v>24</v>
      </c>
      <c r="EM50" t="s">
        <v>25</v>
      </c>
      <c r="EO50" t="s">
        <v>3</v>
      </c>
      <c r="EQ50">
        <v>0</v>
      </c>
      <c r="ER50">
        <v>1400.2</v>
      </c>
      <c r="ES50">
        <v>0</v>
      </c>
      <c r="ET50">
        <v>0</v>
      </c>
      <c r="EU50">
        <v>0</v>
      </c>
      <c r="EV50">
        <v>1400.2</v>
      </c>
      <c r="EW50">
        <v>3.09</v>
      </c>
      <c r="EX50">
        <v>0</v>
      </c>
      <c r="EY50">
        <v>0</v>
      </c>
      <c r="FQ50">
        <v>0</v>
      </c>
      <c r="FR50">
        <v>0</v>
      </c>
      <c r="FS50">
        <v>0</v>
      </c>
      <c r="FX50">
        <v>70</v>
      </c>
      <c r="FY50">
        <v>10</v>
      </c>
      <c r="GA50" t="s">
        <v>3</v>
      </c>
      <c r="GD50">
        <v>0</v>
      </c>
      <c r="GF50">
        <v>1003354648</v>
      </c>
      <c r="GG50">
        <v>2</v>
      </c>
      <c r="GH50">
        <v>1</v>
      </c>
      <c r="GI50">
        <v>-2</v>
      </c>
      <c r="GJ50">
        <v>0</v>
      </c>
      <c r="GK50">
        <f>ROUND(R50*(R12)/100,2)</f>
        <v>0</v>
      </c>
      <c r="GL50">
        <f t="shared" si="52"/>
        <v>0</v>
      </c>
      <c r="GM50">
        <f t="shared" si="53"/>
        <v>195801.73</v>
      </c>
      <c r="GN50">
        <f t="shared" si="54"/>
        <v>0</v>
      </c>
      <c r="GO50">
        <f t="shared" si="55"/>
        <v>0</v>
      </c>
      <c r="GP50">
        <f t="shared" si="56"/>
        <v>195801.73</v>
      </c>
      <c r="GR50">
        <v>0</v>
      </c>
      <c r="GS50">
        <v>3</v>
      </c>
      <c r="GT50">
        <v>0</v>
      </c>
      <c r="GU50" t="s">
        <v>3</v>
      </c>
      <c r="GV50">
        <f t="shared" si="57"/>
        <v>0</v>
      </c>
      <c r="GW50">
        <v>1</v>
      </c>
      <c r="GX50">
        <f t="shared" si="58"/>
        <v>0</v>
      </c>
      <c r="HA50">
        <v>0</v>
      </c>
      <c r="HB50">
        <v>0</v>
      </c>
      <c r="HC50">
        <f t="shared" si="59"/>
        <v>0</v>
      </c>
      <c r="HE50" t="s">
        <v>3</v>
      </c>
      <c r="HF50" t="s">
        <v>3</v>
      </c>
      <c r="HM50" t="s">
        <v>3</v>
      </c>
      <c r="HN50" t="s">
        <v>3</v>
      </c>
      <c r="HO50" t="s">
        <v>3</v>
      </c>
      <c r="HP50" t="s">
        <v>3</v>
      </c>
      <c r="HQ50" t="s">
        <v>3</v>
      </c>
      <c r="HS50">
        <v>0</v>
      </c>
      <c r="IK50">
        <v>0</v>
      </c>
    </row>
    <row r="52" spans="1:245" ht="13" x14ac:dyDescent="0.3">
      <c r="A52" s="2">
        <v>51</v>
      </c>
      <c r="B52" s="2">
        <f>B28</f>
        <v>1</v>
      </c>
      <c r="C52" s="2">
        <f>A28</f>
        <v>5</v>
      </c>
      <c r="D52" s="2">
        <f>ROW(A28)</f>
        <v>28</v>
      </c>
      <c r="E52" s="2"/>
      <c r="F52" s="2" t="str">
        <f>IF(F28&lt;&gt;"",F28,"")</f>
        <v>Новый подраздел</v>
      </c>
      <c r="G52" s="2" t="str">
        <f>IF(G28&lt;&gt;"",G28,"")</f>
        <v xml:space="preserve">Подраздел: ЗИМНЯЯ УБОРКА </v>
      </c>
      <c r="H52" s="2">
        <v>0</v>
      </c>
      <c r="I52" s="2"/>
      <c r="J52" s="2"/>
      <c r="K52" s="2"/>
      <c r="L52" s="2"/>
      <c r="M52" s="2"/>
      <c r="N52" s="2"/>
      <c r="O52" s="2">
        <f t="shared" ref="O52:T52" si="62">ROUND(AB52,2)</f>
        <v>70504569.359999999</v>
      </c>
      <c r="P52" s="2">
        <f t="shared" si="62"/>
        <v>10634995.16</v>
      </c>
      <c r="Q52" s="2">
        <f t="shared" si="62"/>
        <v>40967747.899999999</v>
      </c>
      <c r="R52" s="2">
        <f t="shared" si="62"/>
        <v>18687597.140000001</v>
      </c>
      <c r="S52" s="2">
        <f t="shared" si="62"/>
        <v>18901826.300000001</v>
      </c>
      <c r="T52" s="2">
        <f t="shared" si="62"/>
        <v>0</v>
      </c>
      <c r="U52" s="2">
        <f>AH52</f>
        <v>41713.278178</v>
      </c>
      <c r="V52" s="2">
        <f>AI52</f>
        <v>0</v>
      </c>
      <c r="W52" s="2">
        <f>ROUND(AJ52,2)</f>
        <v>0</v>
      </c>
      <c r="X52" s="2">
        <f>ROUND(AK52,2)</f>
        <v>13231278.43</v>
      </c>
      <c r="Y52" s="2">
        <f>ROUND(AL52,2)</f>
        <v>1890182.65</v>
      </c>
      <c r="Z52" s="2"/>
      <c r="AA52" s="2"/>
      <c r="AB52" s="2">
        <f>ROUND(SUMIF(AA32:AA50,"=80889732",O32:O50),2)</f>
        <v>70504569.359999999</v>
      </c>
      <c r="AC52" s="2">
        <f>ROUND(SUMIF(AA32:AA50,"=80889732",P32:P50),2)</f>
        <v>10634995.16</v>
      </c>
      <c r="AD52" s="2">
        <f>ROUND(SUMIF(AA32:AA50,"=80889732",Q32:Q50),2)</f>
        <v>40967747.899999999</v>
      </c>
      <c r="AE52" s="2">
        <f>ROUND(SUMIF(AA32:AA50,"=80889732",R32:R50),2)</f>
        <v>18687597.140000001</v>
      </c>
      <c r="AF52" s="2">
        <f>ROUND(SUMIF(AA32:AA50,"=80889732",S32:S50),2)</f>
        <v>18901826.300000001</v>
      </c>
      <c r="AG52" s="2">
        <f>ROUND(SUMIF(AA32:AA50,"=80889732",T32:T50),2)</f>
        <v>0</v>
      </c>
      <c r="AH52" s="2">
        <f>SUMIF(AA32:AA50,"=80889732",U32:U50)</f>
        <v>41713.278178</v>
      </c>
      <c r="AI52" s="2">
        <f>SUMIF(AA32:AA50,"=80889732",V32:V50)</f>
        <v>0</v>
      </c>
      <c r="AJ52" s="2">
        <f>ROUND(SUMIF(AA32:AA50,"=80889732",W32:W50),2)</f>
        <v>0</v>
      </c>
      <c r="AK52" s="2">
        <f>ROUND(SUMIF(AA32:AA50,"=80889732",X32:X50),2)</f>
        <v>13231278.43</v>
      </c>
      <c r="AL52" s="2">
        <f>ROUND(SUMIF(AA32:AA50,"=80889732",Y32:Y50),2)</f>
        <v>1890182.65</v>
      </c>
      <c r="AM52" s="2"/>
      <c r="AN52" s="2"/>
      <c r="AO52" s="2">
        <f t="shared" ref="AO52:BD52" si="63">ROUND(BX52,2)</f>
        <v>0</v>
      </c>
      <c r="AP52" s="2">
        <f t="shared" si="63"/>
        <v>0</v>
      </c>
      <c r="AQ52" s="2">
        <f t="shared" si="63"/>
        <v>0</v>
      </c>
      <c r="AR52" s="2">
        <f t="shared" si="63"/>
        <v>105808635.36</v>
      </c>
      <c r="AS52" s="2">
        <f t="shared" si="63"/>
        <v>0</v>
      </c>
      <c r="AT52" s="2">
        <f t="shared" si="63"/>
        <v>0</v>
      </c>
      <c r="AU52" s="2">
        <f t="shared" si="63"/>
        <v>105808635.36</v>
      </c>
      <c r="AV52" s="2">
        <f t="shared" si="63"/>
        <v>10634995.16</v>
      </c>
      <c r="AW52" s="2">
        <f t="shared" si="63"/>
        <v>10634995.16</v>
      </c>
      <c r="AX52" s="2">
        <f t="shared" si="63"/>
        <v>0</v>
      </c>
      <c r="AY52" s="2">
        <f t="shared" si="63"/>
        <v>10634995.16</v>
      </c>
      <c r="AZ52" s="2">
        <f t="shared" si="63"/>
        <v>0</v>
      </c>
      <c r="BA52" s="2">
        <f t="shared" si="63"/>
        <v>0</v>
      </c>
      <c r="BB52" s="2">
        <f t="shared" si="63"/>
        <v>0</v>
      </c>
      <c r="BC52" s="2">
        <f t="shared" si="63"/>
        <v>0</v>
      </c>
      <c r="BD52" s="2">
        <f t="shared" si="63"/>
        <v>0</v>
      </c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>
        <f>ROUND(SUMIF(AA32:AA50,"=80889732",FQ32:FQ50),2)</f>
        <v>0</v>
      </c>
      <c r="BY52" s="2">
        <f>ROUND(SUMIF(AA32:AA50,"=80889732",FR32:FR50),2)</f>
        <v>0</v>
      </c>
      <c r="BZ52" s="2">
        <f>ROUND(SUMIF(AA32:AA50,"=80889732",GL32:GL50),2)</f>
        <v>0</v>
      </c>
      <c r="CA52" s="2">
        <f>ROUND(SUMIF(AA32:AA50,"=80889732",GM32:GM50),2)</f>
        <v>105808635.36</v>
      </c>
      <c r="CB52" s="2">
        <f>ROUND(SUMIF(AA32:AA50,"=80889732",GN32:GN50),2)</f>
        <v>0</v>
      </c>
      <c r="CC52" s="2">
        <f>ROUND(SUMIF(AA32:AA50,"=80889732",GO32:GO50),2)</f>
        <v>0</v>
      </c>
      <c r="CD52" s="2">
        <f>ROUND(SUMIF(AA32:AA50,"=80889732",GP32:GP50),2)</f>
        <v>105808635.36</v>
      </c>
      <c r="CE52" s="2">
        <f>AC52-BX52</f>
        <v>10634995.16</v>
      </c>
      <c r="CF52" s="2">
        <f>AC52-BY52</f>
        <v>10634995.16</v>
      </c>
      <c r="CG52" s="2">
        <f>BX52-BZ52</f>
        <v>0</v>
      </c>
      <c r="CH52" s="2">
        <f>AC52-BX52-BY52+BZ52</f>
        <v>10634995.16</v>
      </c>
      <c r="CI52" s="2">
        <f>BY52-BZ52</f>
        <v>0</v>
      </c>
      <c r="CJ52" s="2">
        <f>ROUND(SUMIF(AA32:AA50,"=80889732",GX32:GX50),2)</f>
        <v>0</v>
      </c>
      <c r="CK52" s="2">
        <f>ROUND(SUMIF(AA32:AA50,"=80889732",GY32:GY50),2)</f>
        <v>0</v>
      </c>
      <c r="CL52" s="2">
        <f>ROUND(SUMIF(AA32:AA50,"=80889732",GZ32:GZ50),2)</f>
        <v>0</v>
      </c>
      <c r="CM52" s="2">
        <f>ROUND(SUMIF(AA32:AA50,"=80889732",HD32:HD50),2)</f>
        <v>0</v>
      </c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>
        <v>0</v>
      </c>
    </row>
    <row r="54" spans="1:245" ht="13" x14ac:dyDescent="0.3">
      <c r="A54" s="4">
        <v>50</v>
      </c>
      <c r="B54" s="4">
        <v>0</v>
      </c>
      <c r="C54" s="4">
        <v>0</v>
      </c>
      <c r="D54" s="4">
        <v>1</v>
      </c>
      <c r="E54" s="4">
        <v>201</v>
      </c>
      <c r="F54" s="4">
        <f>ROUND(Source!O52,O54)</f>
        <v>70504569.359999999</v>
      </c>
      <c r="G54" s="4" t="s">
        <v>106</v>
      </c>
      <c r="H54" s="4" t="s">
        <v>107</v>
      </c>
      <c r="I54" s="4"/>
      <c r="J54" s="4"/>
      <c r="K54" s="4">
        <v>201</v>
      </c>
      <c r="L54" s="4">
        <v>1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70504569.359999999</v>
      </c>
      <c r="X54" s="4">
        <v>1</v>
      </c>
      <c r="Y54" s="4">
        <v>70504569.359999999</v>
      </c>
      <c r="Z54" s="4"/>
      <c r="AA54" s="4"/>
      <c r="AB54" s="4"/>
    </row>
    <row r="55" spans="1:245" ht="13" x14ac:dyDescent="0.3">
      <c r="A55" s="4">
        <v>50</v>
      </c>
      <c r="B55" s="4">
        <v>0</v>
      </c>
      <c r="C55" s="4">
        <v>0</v>
      </c>
      <c r="D55" s="4">
        <v>1</v>
      </c>
      <c r="E55" s="4">
        <v>202</v>
      </c>
      <c r="F55" s="4">
        <f>ROUND(Source!P52,O55)</f>
        <v>10634995.16</v>
      </c>
      <c r="G55" s="4" t="s">
        <v>108</v>
      </c>
      <c r="H55" s="4" t="s">
        <v>109</v>
      </c>
      <c r="I55" s="4"/>
      <c r="J55" s="4"/>
      <c r="K55" s="4">
        <v>202</v>
      </c>
      <c r="L55" s="4">
        <v>2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10634995.16</v>
      </c>
      <c r="X55" s="4">
        <v>1</v>
      </c>
      <c r="Y55" s="4">
        <v>10634995.16</v>
      </c>
      <c r="Z55" s="4"/>
      <c r="AA55" s="4"/>
      <c r="AB55" s="4"/>
    </row>
    <row r="56" spans="1:245" ht="13" x14ac:dyDescent="0.3">
      <c r="A56" s="4">
        <v>50</v>
      </c>
      <c r="B56" s="4">
        <v>0</v>
      </c>
      <c r="C56" s="4">
        <v>0</v>
      </c>
      <c r="D56" s="4">
        <v>1</v>
      </c>
      <c r="E56" s="4">
        <v>222</v>
      </c>
      <c r="F56" s="4">
        <f>ROUND(Source!AO52,O56)</f>
        <v>0</v>
      </c>
      <c r="G56" s="4" t="s">
        <v>110</v>
      </c>
      <c r="H56" s="4" t="s">
        <v>111</v>
      </c>
      <c r="I56" s="4"/>
      <c r="J56" s="4"/>
      <c r="K56" s="4">
        <v>222</v>
      </c>
      <c r="L56" s="4">
        <v>3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45" ht="13" x14ac:dyDescent="0.3">
      <c r="A57" s="4">
        <v>50</v>
      </c>
      <c r="B57" s="4">
        <v>0</v>
      </c>
      <c r="C57" s="4">
        <v>0</v>
      </c>
      <c r="D57" s="4">
        <v>1</v>
      </c>
      <c r="E57" s="4">
        <v>225</v>
      </c>
      <c r="F57" s="4">
        <f>ROUND(Source!AV52,O57)</f>
        <v>10634995.16</v>
      </c>
      <c r="G57" s="4" t="s">
        <v>112</v>
      </c>
      <c r="H57" s="4" t="s">
        <v>113</v>
      </c>
      <c r="I57" s="4"/>
      <c r="J57" s="4"/>
      <c r="K57" s="4">
        <v>225</v>
      </c>
      <c r="L57" s="4">
        <v>4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10634995.16</v>
      </c>
      <c r="X57" s="4">
        <v>1</v>
      </c>
      <c r="Y57" s="4">
        <v>10634995.16</v>
      </c>
      <c r="Z57" s="4"/>
      <c r="AA57" s="4"/>
      <c r="AB57" s="4"/>
    </row>
    <row r="58" spans="1:245" ht="13" x14ac:dyDescent="0.3">
      <c r="A58" s="4">
        <v>50</v>
      </c>
      <c r="B58" s="4">
        <v>0</v>
      </c>
      <c r="C58" s="4">
        <v>0</v>
      </c>
      <c r="D58" s="4">
        <v>1</v>
      </c>
      <c r="E58" s="4">
        <v>226</v>
      </c>
      <c r="F58" s="4">
        <f>ROUND(Source!AW52,O58)</f>
        <v>10634995.16</v>
      </c>
      <c r="G58" s="4" t="s">
        <v>114</v>
      </c>
      <c r="H58" s="4" t="s">
        <v>115</v>
      </c>
      <c r="I58" s="4"/>
      <c r="J58" s="4"/>
      <c r="K58" s="4">
        <v>226</v>
      </c>
      <c r="L58" s="4">
        <v>5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10634995.16</v>
      </c>
      <c r="X58" s="4">
        <v>1</v>
      </c>
      <c r="Y58" s="4">
        <v>10634995.16</v>
      </c>
      <c r="Z58" s="4"/>
      <c r="AA58" s="4"/>
      <c r="AB58" s="4"/>
    </row>
    <row r="59" spans="1:245" ht="13" x14ac:dyDescent="0.3">
      <c r="A59" s="4">
        <v>50</v>
      </c>
      <c r="B59" s="4">
        <v>0</v>
      </c>
      <c r="C59" s="4">
        <v>0</v>
      </c>
      <c r="D59" s="4">
        <v>1</v>
      </c>
      <c r="E59" s="4">
        <v>227</v>
      </c>
      <c r="F59" s="4">
        <f>ROUND(Source!AX52,O59)</f>
        <v>0</v>
      </c>
      <c r="G59" s="4" t="s">
        <v>116</v>
      </c>
      <c r="H59" s="4" t="s">
        <v>117</v>
      </c>
      <c r="I59" s="4"/>
      <c r="J59" s="4"/>
      <c r="K59" s="4">
        <v>227</v>
      </c>
      <c r="L59" s="4">
        <v>6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45" ht="13" x14ac:dyDescent="0.3">
      <c r="A60" s="4">
        <v>50</v>
      </c>
      <c r="B60" s="4">
        <v>0</v>
      </c>
      <c r="C60" s="4">
        <v>0</v>
      </c>
      <c r="D60" s="4">
        <v>1</v>
      </c>
      <c r="E60" s="4">
        <v>228</v>
      </c>
      <c r="F60" s="4">
        <f>ROUND(Source!AY52,O60)</f>
        <v>10634995.16</v>
      </c>
      <c r="G60" s="4" t="s">
        <v>118</v>
      </c>
      <c r="H60" s="4" t="s">
        <v>119</v>
      </c>
      <c r="I60" s="4"/>
      <c r="J60" s="4"/>
      <c r="K60" s="4">
        <v>228</v>
      </c>
      <c r="L60" s="4">
        <v>7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10634995.16</v>
      </c>
      <c r="X60" s="4">
        <v>1</v>
      </c>
      <c r="Y60" s="4">
        <v>10634995.16</v>
      </c>
      <c r="Z60" s="4"/>
      <c r="AA60" s="4"/>
      <c r="AB60" s="4"/>
    </row>
    <row r="61" spans="1:245" ht="13" x14ac:dyDescent="0.3">
      <c r="A61" s="4">
        <v>50</v>
      </c>
      <c r="B61" s="4">
        <v>0</v>
      </c>
      <c r="C61" s="4">
        <v>0</v>
      </c>
      <c r="D61" s="4">
        <v>1</v>
      </c>
      <c r="E61" s="4">
        <v>216</v>
      </c>
      <c r="F61" s="4">
        <f>ROUND(Source!AP52,O61)</f>
        <v>0</v>
      </c>
      <c r="G61" s="4" t="s">
        <v>120</v>
      </c>
      <c r="H61" s="4" t="s">
        <v>121</v>
      </c>
      <c r="I61" s="4"/>
      <c r="J61" s="4"/>
      <c r="K61" s="4">
        <v>216</v>
      </c>
      <c r="L61" s="4">
        <v>8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45" ht="13" x14ac:dyDescent="0.3">
      <c r="A62" s="4">
        <v>50</v>
      </c>
      <c r="B62" s="4">
        <v>0</v>
      </c>
      <c r="C62" s="4">
        <v>0</v>
      </c>
      <c r="D62" s="4">
        <v>1</v>
      </c>
      <c r="E62" s="4">
        <v>223</v>
      </c>
      <c r="F62" s="4">
        <f>ROUND(Source!AQ52,O62)</f>
        <v>0</v>
      </c>
      <c r="G62" s="4" t="s">
        <v>122</v>
      </c>
      <c r="H62" s="4" t="s">
        <v>123</v>
      </c>
      <c r="I62" s="4"/>
      <c r="J62" s="4"/>
      <c r="K62" s="4">
        <v>223</v>
      </c>
      <c r="L62" s="4">
        <v>9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45" ht="13" x14ac:dyDescent="0.3">
      <c r="A63" s="4">
        <v>50</v>
      </c>
      <c r="B63" s="4">
        <v>0</v>
      </c>
      <c r="C63" s="4">
        <v>0</v>
      </c>
      <c r="D63" s="4">
        <v>1</v>
      </c>
      <c r="E63" s="4">
        <v>229</v>
      </c>
      <c r="F63" s="4">
        <f>ROUND(Source!AZ52,O63)</f>
        <v>0</v>
      </c>
      <c r="G63" s="4" t="s">
        <v>124</v>
      </c>
      <c r="H63" s="4" t="s">
        <v>125</v>
      </c>
      <c r="I63" s="4"/>
      <c r="J63" s="4"/>
      <c r="K63" s="4">
        <v>229</v>
      </c>
      <c r="L63" s="4">
        <v>10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45" ht="13" x14ac:dyDescent="0.3">
      <c r="A64" s="4">
        <v>50</v>
      </c>
      <c r="B64" s="4">
        <v>0</v>
      </c>
      <c r="C64" s="4">
        <v>0</v>
      </c>
      <c r="D64" s="4">
        <v>1</v>
      </c>
      <c r="E64" s="4">
        <v>203</v>
      </c>
      <c r="F64" s="4">
        <f>ROUND(Source!Q52,O64)</f>
        <v>40967747.899999999</v>
      </c>
      <c r="G64" s="4" t="s">
        <v>126</v>
      </c>
      <c r="H64" s="4" t="s">
        <v>127</v>
      </c>
      <c r="I64" s="4"/>
      <c r="J64" s="4"/>
      <c r="K64" s="4">
        <v>203</v>
      </c>
      <c r="L64" s="4">
        <v>11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40967747.899999999</v>
      </c>
      <c r="X64" s="4">
        <v>1</v>
      </c>
      <c r="Y64" s="4">
        <v>40967747.899999999</v>
      </c>
      <c r="Z64" s="4"/>
      <c r="AA64" s="4"/>
      <c r="AB64" s="4"/>
    </row>
    <row r="65" spans="1:28" ht="13" x14ac:dyDescent="0.3">
      <c r="A65" s="4">
        <v>50</v>
      </c>
      <c r="B65" s="4">
        <v>0</v>
      </c>
      <c r="C65" s="4">
        <v>0</v>
      </c>
      <c r="D65" s="4">
        <v>1</v>
      </c>
      <c r="E65" s="4">
        <v>231</v>
      </c>
      <c r="F65" s="4">
        <f>ROUND(Source!BB52,O65)</f>
        <v>0</v>
      </c>
      <c r="G65" s="4" t="s">
        <v>128</v>
      </c>
      <c r="H65" s="4" t="s">
        <v>129</v>
      </c>
      <c r="I65" s="4"/>
      <c r="J65" s="4"/>
      <c r="K65" s="4">
        <v>231</v>
      </c>
      <c r="L65" s="4">
        <v>12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28" ht="13" x14ac:dyDescent="0.3">
      <c r="A66" s="4">
        <v>50</v>
      </c>
      <c r="B66" s="4">
        <v>0</v>
      </c>
      <c r="C66" s="4">
        <v>0</v>
      </c>
      <c r="D66" s="4">
        <v>1</v>
      </c>
      <c r="E66" s="4">
        <v>204</v>
      </c>
      <c r="F66" s="4">
        <f>ROUND(Source!R52,O66)</f>
        <v>18687597.140000001</v>
      </c>
      <c r="G66" s="4" t="s">
        <v>130</v>
      </c>
      <c r="H66" s="4" t="s">
        <v>131</v>
      </c>
      <c r="I66" s="4"/>
      <c r="J66" s="4"/>
      <c r="K66" s="4">
        <v>204</v>
      </c>
      <c r="L66" s="4">
        <v>13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18687597.140000001</v>
      </c>
      <c r="X66" s="4">
        <v>1</v>
      </c>
      <c r="Y66" s="4">
        <v>18687597.140000001</v>
      </c>
      <c r="Z66" s="4"/>
      <c r="AA66" s="4"/>
      <c r="AB66" s="4"/>
    </row>
    <row r="67" spans="1:28" ht="13" x14ac:dyDescent="0.3">
      <c r="A67" s="4">
        <v>50</v>
      </c>
      <c r="B67" s="4">
        <v>0</v>
      </c>
      <c r="C67" s="4">
        <v>0</v>
      </c>
      <c r="D67" s="4">
        <v>1</v>
      </c>
      <c r="E67" s="4">
        <v>205</v>
      </c>
      <c r="F67" s="4">
        <f>ROUND(Source!S52,O67)</f>
        <v>18901826.300000001</v>
      </c>
      <c r="G67" s="4" t="s">
        <v>132</v>
      </c>
      <c r="H67" s="4" t="s">
        <v>133</v>
      </c>
      <c r="I67" s="4"/>
      <c r="J67" s="4"/>
      <c r="K67" s="4">
        <v>205</v>
      </c>
      <c r="L67" s="4">
        <v>14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18901826.300000001</v>
      </c>
      <c r="X67" s="4">
        <v>1</v>
      </c>
      <c r="Y67" s="4">
        <v>18901826.300000001</v>
      </c>
      <c r="Z67" s="4"/>
      <c r="AA67" s="4"/>
      <c r="AB67" s="4"/>
    </row>
    <row r="68" spans="1:28" ht="13" x14ac:dyDescent="0.3">
      <c r="A68" s="4">
        <v>50</v>
      </c>
      <c r="B68" s="4">
        <v>0</v>
      </c>
      <c r="C68" s="4">
        <v>0</v>
      </c>
      <c r="D68" s="4">
        <v>1</v>
      </c>
      <c r="E68" s="4">
        <v>232</v>
      </c>
      <c r="F68" s="4">
        <f>ROUND(Source!BC52,O68)</f>
        <v>0</v>
      </c>
      <c r="G68" s="4" t="s">
        <v>134</v>
      </c>
      <c r="H68" s="4" t="s">
        <v>135</v>
      </c>
      <c r="I68" s="4"/>
      <c r="J68" s="4"/>
      <c r="K68" s="4">
        <v>232</v>
      </c>
      <c r="L68" s="4">
        <v>15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8" ht="13" x14ac:dyDescent="0.3">
      <c r="A69" s="4">
        <v>50</v>
      </c>
      <c r="B69" s="4">
        <v>0</v>
      </c>
      <c r="C69" s="4">
        <v>0</v>
      </c>
      <c r="D69" s="4">
        <v>1</v>
      </c>
      <c r="E69" s="4">
        <v>214</v>
      </c>
      <c r="F69" s="4">
        <f>ROUND(Source!AS52,O69)</f>
        <v>0</v>
      </c>
      <c r="G69" s="4" t="s">
        <v>136</v>
      </c>
      <c r="H69" s="4" t="s">
        <v>137</v>
      </c>
      <c r="I69" s="4"/>
      <c r="J69" s="4"/>
      <c r="K69" s="4">
        <v>214</v>
      </c>
      <c r="L69" s="4">
        <v>16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8" ht="13" x14ac:dyDescent="0.3">
      <c r="A70" s="4">
        <v>50</v>
      </c>
      <c r="B70" s="4">
        <v>0</v>
      </c>
      <c r="C70" s="4">
        <v>0</v>
      </c>
      <c r="D70" s="4">
        <v>1</v>
      </c>
      <c r="E70" s="4">
        <v>215</v>
      </c>
      <c r="F70" s="4">
        <f>ROUND(Source!AT52,O70)</f>
        <v>0</v>
      </c>
      <c r="G70" s="4" t="s">
        <v>138</v>
      </c>
      <c r="H70" s="4" t="s">
        <v>139</v>
      </c>
      <c r="I70" s="4"/>
      <c r="J70" s="4"/>
      <c r="K70" s="4">
        <v>215</v>
      </c>
      <c r="L70" s="4">
        <v>17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8" ht="13" x14ac:dyDescent="0.3">
      <c r="A71" s="4">
        <v>50</v>
      </c>
      <c r="B71" s="4">
        <v>0</v>
      </c>
      <c r="C71" s="4">
        <v>0</v>
      </c>
      <c r="D71" s="4">
        <v>1</v>
      </c>
      <c r="E71" s="4">
        <v>217</v>
      </c>
      <c r="F71" s="4">
        <f>ROUND(Source!AU52,O71)</f>
        <v>105808635.36</v>
      </c>
      <c r="G71" s="4" t="s">
        <v>140</v>
      </c>
      <c r="H71" s="4" t="s">
        <v>141</v>
      </c>
      <c r="I71" s="4"/>
      <c r="J71" s="4"/>
      <c r="K71" s="4">
        <v>217</v>
      </c>
      <c r="L71" s="4">
        <v>18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105808635.36</v>
      </c>
      <c r="X71" s="4">
        <v>1</v>
      </c>
      <c r="Y71" s="4">
        <v>105808635.36</v>
      </c>
      <c r="Z71" s="4"/>
      <c r="AA71" s="4"/>
      <c r="AB71" s="4"/>
    </row>
    <row r="72" spans="1:28" ht="13" x14ac:dyDescent="0.3">
      <c r="A72" s="4">
        <v>50</v>
      </c>
      <c r="B72" s="4">
        <v>0</v>
      </c>
      <c r="C72" s="4">
        <v>0</v>
      </c>
      <c r="D72" s="4">
        <v>1</v>
      </c>
      <c r="E72" s="4">
        <v>230</v>
      </c>
      <c r="F72" s="4">
        <f>ROUND(Source!BA52,O72)</f>
        <v>0</v>
      </c>
      <c r="G72" s="4" t="s">
        <v>142</v>
      </c>
      <c r="H72" s="4" t="s">
        <v>143</v>
      </c>
      <c r="I72" s="4"/>
      <c r="J72" s="4"/>
      <c r="K72" s="4">
        <v>230</v>
      </c>
      <c r="L72" s="4">
        <v>19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8" ht="13" x14ac:dyDescent="0.3">
      <c r="A73" s="4">
        <v>50</v>
      </c>
      <c r="B73" s="4">
        <v>0</v>
      </c>
      <c r="C73" s="4">
        <v>0</v>
      </c>
      <c r="D73" s="4">
        <v>1</v>
      </c>
      <c r="E73" s="4">
        <v>206</v>
      </c>
      <c r="F73" s="4">
        <f>ROUND(Source!T52,O73)</f>
        <v>0</v>
      </c>
      <c r="G73" s="4" t="s">
        <v>144</v>
      </c>
      <c r="H73" s="4" t="s">
        <v>145</v>
      </c>
      <c r="I73" s="4"/>
      <c r="J73" s="4"/>
      <c r="K73" s="4">
        <v>206</v>
      </c>
      <c r="L73" s="4">
        <v>20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28" ht="13" x14ac:dyDescent="0.3">
      <c r="A74" s="4">
        <v>50</v>
      </c>
      <c r="B74" s="4">
        <v>0</v>
      </c>
      <c r="C74" s="4">
        <v>0</v>
      </c>
      <c r="D74" s="4">
        <v>1</v>
      </c>
      <c r="E74" s="4">
        <v>207</v>
      </c>
      <c r="F74" s="4">
        <f>Source!U52</f>
        <v>41713.278178</v>
      </c>
      <c r="G74" s="4" t="s">
        <v>146</v>
      </c>
      <c r="H74" s="4" t="s">
        <v>147</v>
      </c>
      <c r="I74" s="4"/>
      <c r="J74" s="4"/>
      <c r="K74" s="4">
        <v>207</v>
      </c>
      <c r="L74" s="4">
        <v>21</v>
      </c>
      <c r="M74" s="4">
        <v>3</v>
      </c>
      <c r="N74" s="4" t="s">
        <v>3</v>
      </c>
      <c r="O74" s="4">
        <v>-1</v>
      </c>
      <c r="P74" s="4"/>
      <c r="Q74" s="4"/>
      <c r="R74" s="4"/>
      <c r="S74" s="4"/>
      <c r="T74" s="4"/>
      <c r="U74" s="4"/>
      <c r="V74" s="4"/>
      <c r="W74" s="4">
        <v>41713.278178</v>
      </c>
      <c r="X74" s="4">
        <v>1</v>
      </c>
      <c r="Y74" s="4">
        <v>41713.278178</v>
      </c>
      <c r="Z74" s="4"/>
      <c r="AA74" s="4"/>
      <c r="AB74" s="4"/>
    </row>
    <row r="75" spans="1:28" ht="13" x14ac:dyDescent="0.3">
      <c r="A75" s="4">
        <v>50</v>
      </c>
      <c r="B75" s="4">
        <v>0</v>
      </c>
      <c r="C75" s="4">
        <v>0</v>
      </c>
      <c r="D75" s="4">
        <v>1</v>
      </c>
      <c r="E75" s="4">
        <v>208</v>
      </c>
      <c r="F75" s="4">
        <f>Source!V52</f>
        <v>0</v>
      </c>
      <c r="G75" s="4" t="s">
        <v>148</v>
      </c>
      <c r="H75" s="4" t="s">
        <v>149</v>
      </c>
      <c r="I75" s="4"/>
      <c r="J75" s="4"/>
      <c r="K75" s="4">
        <v>208</v>
      </c>
      <c r="L75" s="4">
        <v>22</v>
      </c>
      <c r="M75" s="4">
        <v>3</v>
      </c>
      <c r="N75" s="4" t="s">
        <v>3</v>
      </c>
      <c r="O75" s="4">
        <v>-1</v>
      </c>
      <c r="P75" s="4"/>
      <c r="Q75" s="4"/>
      <c r="R75" s="4"/>
      <c r="S75" s="4"/>
      <c r="T75" s="4"/>
      <c r="U75" s="4"/>
      <c r="V75" s="4"/>
      <c r="W75" s="4">
        <v>0</v>
      </c>
      <c r="X75" s="4">
        <v>1</v>
      </c>
      <c r="Y75" s="4">
        <v>0</v>
      </c>
      <c r="Z75" s="4"/>
      <c r="AA75" s="4"/>
      <c r="AB75" s="4"/>
    </row>
    <row r="76" spans="1:28" ht="13" x14ac:dyDescent="0.3">
      <c r="A76" s="4">
        <v>50</v>
      </c>
      <c r="B76" s="4">
        <v>0</v>
      </c>
      <c r="C76" s="4">
        <v>0</v>
      </c>
      <c r="D76" s="4">
        <v>1</v>
      </c>
      <c r="E76" s="4">
        <v>209</v>
      </c>
      <c r="F76" s="4">
        <f>ROUND(Source!W52,O76)</f>
        <v>0</v>
      </c>
      <c r="G76" s="4" t="s">
        <v>150</v>
      </c>
      <c r="H76" s="4" t="s">
        <v>151</v>
      </c>
      <c r="I76" s="4"/>
      <c r="J76" s="4"/>
      <c r="K76" s="4">
        <v>209</v>
      </c>
      <c r="L76" s="4">
        <v>23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0</v>
      </c>
      <c r="X76" s="4">
        <v>1</v>
      </c>
      <c r="Y76" s="4">
        <v>0</v>
      </c>
      <c r="Z76" s="4"/>
      <c r="AA76" s="4"/>
      <c r="AB76" s="4"/>
    </row>
    <row r="77" spans="1:28" ht="13" x14ac:dyDescent="0.3">
      <c r="A77" s="4">
        <v>50</v>
      </c>
      <c r="B77" s="4">
        <v>0</v>
      </c>
      <c r="C77" s="4">
        <v>0</v>
      </c>
      <c r="D77" s="4">
        <v>1</v>
      </c>
      <c r="E77" s="4">
        <v>233</v>
      </c>
      <c r="F77" s="4">
        <f>ROUND(Source!BD52,O77)</f>
        <v>0</v>
      </c>
      <c r="G77" s="4" t="s">
        <v>152</v>
      </c>
      <c r="H77" s="4" t="s">
        <v>153</v>
      </c>
      <c r="I77" s="4"/>
      <c r="J77" s="4"/>
      <c r="K77" s="4">
        <v>233</v>
      </c>
      <c r="L77" s="4">
        <v>24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8" ht="13" x14ac:dyDescent="0.3">
      <c r="A78" s="4">
        <v>50</v>
      </c>
      <c r="B78" s="4">
        <v>0</v>
      </c>
      <c r="C78" s="4">
        <v>0</v>
      </c>
      <c r="D78" s="4">
        <v>1</v>
      </c>
      <c r="E78" s="4">
        <v>210</v>
      </c>
      <c r="F78" s="4">
        <f>ROUND(Source!X52,O78)</f>
        <v>13231278.43</v>
      </c>
      <c r="G78" s="4" t="s">
        <v>154</v>
      </c>
      <c r="H78" s="4" t="s">
        <v>155</v>
      </c>
      <c r="I78" s="4"/>
      <c r="J78" s="4"/>
      <c r="K78" s="4">
        <v>210</v>
      </c>
      <c r="L78" s="4">
        <v>25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13231278.43</v>
      </c>
      <c r="X78" s="4">
        <v>1</v>
      </c>
      <c r="Y78" s="4">
        <v>13231278.43</v>
      </c>
      <c r="Z78" s="4"/>
      <c r="AA78" s="4"/>
      <c r="AB78" s="4"/>
    </row>
    <row r="79" spans="1:28" ht="13" x14ac:dyDescent="0.3">
      <c r="A79" s="4">
        <v>50</v>
      </c>
      <c r="B79" s="4">
        <v>0</v>
      </c>
      <c r="C79" s="4">
        <v>0</v>
      </c>
      <c r="D79" s="4">
        <v>1</v>
      </c>
      <c r="E79" s="4">
        <v>211</v>
      </c>
      <c r="F79" s="4">
        <f>ROUND(Source!Y52,O79)</f>
        <v>1890182.65</v>
      </c>
      <c r="G79" s="4" t="s">
        <v>156</v>
      </c>
      <c r="H79" s="4" t="s">
        <v>157</v>
      </c>
      <c r="I79" s="4"/>
      <c r="J79" s="4"/>
      <c r="K79" s="4">
        <v>211</v>
      </c>
      <c r="L79" s="4">
        <v>26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1890182.65</v>
      </c>
      <c r="X79" s="4">
        <v>1</v>
      </c>
      <c r="Y79" s="4">
        <v>1890182.65</v>
      </c>
      <c r="Z79" s="4"/>
      <c r="AA79" s="4"/>
      <c r="AB79" s="4"/>
    </row>
    <row r="80" spans="1:28" ht="13" x14ac:dyDescent="0.3">
      <c r="A80" s="4">
        <v>50</v>
      </c>
      <c r="B80" s="4">
        <v>0</v>
      </c>
      <c r="C80" s="4">
        <v>0</v>
      </c>
      <c r="D80" s="4">
        <v>1</v>
      </c>
      <c r="E80" s="4">
        <v>224</v>
      </c>
      <c r="F80" s="4">
        <f>ROUND(Source!AR52,O80)</f>
        <v>105808635.36</v>
      </c>
      <c r="G80" s="4" t="s">
        <v>158</v>
      </c>
      <c r="H80" s="4" t="s">
        <v>159</v>
      </c>
      <c r="I80" s="4"/>
      <c r="J80" s="4"/>
      <c r="K80" s="4">
        <v>224</v>
      </c>
      <c r="L80" s="4">
        <v>27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105808635.36</v>
      </c>
      <c r="X80" s="4">
        <v>1</v>
      </c>
      <c r="Y80" s="4">
        <v>105808635.36</v>
      </c>
      <c r="Z80" s="4"/>
      <c r="AA80" s="4"/>
      <c r="AB80" s="4"/>
    </row>
    <row r="82" spans="1:245" ht="13" x14ac:dyDescent="0.3">
      <c r="A82" s="1">
        <v>5</v>
      </c>
      <c r="B82" s="1">
        <v>1</v>
      </c>
      <c r="C82" s="1"/>
      <c r="D82" s="1">
        <f>ROW(A105)</f>
        <v>105</v>
      </c>
      <c r="E82" s="1"/>
      <c r="F82" s="1" t="s">
        <v>16</v>
      </c>
      <c r="G82" s="1" t="s">
        <v>399</v>
      </c>
      <c r="H82" s="1" t="s">
        <v>3</v>
      </c>
      <c r="I82" s="1">
        <v>0</v>
      </c>
      <c r="J82" s="1"/>
      <c r="K82" s="1">
        <v>0</v>
      </c>
      <c r="L82" s="1"/>
      <c r="M82" s="1" t="s">
        <v>3</v>
      </c>
      <c r="N82" s="1"/>
      <c r="O82" s="1"/>
      <c r="P82" s="1"/>
      <c r="Q82" s="1"/>
      <c r="R82" s="1"/>
      <c r="S82" s="1">
        <v>0</v>
      </c>
      <c r="T82" s="1"/>
      <c r="U82" s="1" t="s">
        <v>3</v>
      </c>
      <c r="V82" s="1">
        <v>0</v>
      </c>
      <c r="W82" s="1"/>
      <c r="X82" s="1"/>
      <c r="Y82" s="1"/>
      <c r="Z82" s="1"/>
      <c r="AA82" s="1"/>
      <c r="AB82" s="1" t="s">
        <v>3</v>
      </c>
      <c r="AC82" s="1" t="s">
        <v>3</v>
      </c>
      <c r="AD82" s="1" t="s">
        <v>3</v>
      </c>
      <c r="AE82" s="1" t="s">
        <v>3</v>
      </c>
      <c r="AF82" s="1" t="s">
        <v>3</v>
      </c>
      <c r="AG82" s="1" t="s">
        <v>3</v>
      </c>
      <c r="AH82" s="1"/>
      <c r="AI82" s="1"/>
      <c r="AJ82" s="1"/>
      <c r="AK82" s="1"/>
      <c r="AL82" s="1"/>
      <c r="AM82" s="1"/>
      <c r="AN82" s="1"/>
      <c r="AO82" s="1"/>
      <c r="AP82" s="1" t="s">
        <v>3</v>
      </c>
      <c r="AQ82" s="1" t="s">
        <v>3</v>
      </c>
      <c r="AR82" s="1" t="s">
        <v>3</v>
      </c>
      <c r="AS82" s="1"/>
      <c r="AT82" s="1"/>
      <c r="AU82" s="1"/>
      <c r="AV82" s="1"/>
      <c r="AW82" s="1"/>
      <c r="AX82" s="1"/>
      <c r="AY82" s="1"/>
      <c r="AZ82" s="1" t="s">
        <v>3</v>
      </c>
      <c r="BA82" s="1"/>
      <c r="BB82" s="1" t="s">
        <v>3</v>
      </c>
      <c r="BC82" s="1" t="s">
        <v>3</v>
      </c>
      <c r="BD82" s="1" t="s">
        <v>3</v>
      </c>
      <c r="BE82" s="1" t="s">
        <v>3</v>
      </c>
      <c r="BF82" s="1" t="s">
        <v>3</v>
      </c>
      <c r="BG82" s="1" t="s">
        <v>3</v>
      </c>
      <c r="BH82" s="1" t="s">
        <v>3</v>
      </c>
      <c r="BI82" s="1" t="s">
        <v>3</v>
      </c>
      <c r="BJ82" s="1" t="s">
        <v>3</v>
      </c>
      <c r="BK82" s="1" t="s">
        <v>3</v>
      </c>
      <c r="BL82" s="1" t="s">
        <v>3</v>
      </c>
      <c r="BM82" s="1" t="s">
        <v>3</v>
      </c>
      <c r="BN82" s="1" t="s">
        <v>3</v>
      </c>
      <c r="BO82" s="1" t="s">
        <v>3</v>
      </c>
      <c r="BP82" s="1" t="s">
        <v>3</v>
      </c>
      <c r="BQ82" s="1"/>
      <c r="BR82" s="1"/>
      <c r="BS82" s="1"/>
      <c r="BT82" s="1"/>
      <c r="BU82" s="1"/>
      <c r="BV82" s="1"/>
      <c r="BW82" s="1"/>
      <c r="BX82" s="1">
        <v>0</v>
      </c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>
        <v>0</v>
      </c>
    </row>
    <row r="84" spans="1:245" ht="13" x14ac:dyDescent="0.3">
      <c r="A84" s="2">
        <v>52</v>
      </c>
      <c r="B84" s="2">
        <f t="shared" ref="B84:G84" si="64">B105</f>
        <v>1</v>
      </c>
      <c r="C84" s="2">
        <f t="shared" si="64"/>
        <v>5</v>
      </c>
      <c r="D84" s="2">
        <f t="shared" si="64"/>
        <v>82</v>
      </c>
      <c r="E84" s="2">
        <f t="shared" si="64"/>
        <v>0</v>
      </c>
      <c r="F84" s="2" t="str">
        <f t="shared" si="64"/>
        <v>Новый подраздел</v>
      </c>
      <c r="G84" s="2" t="str">
        <f t="shared" si="64"/>
        <v xml:space="preserve">Подраздел: ЛЕТНЯЯ УБОРКА </v>
      </c>
      <c r="H84" s="2"/>
      <c r="I84" s="2"/>
      <c r="J84" s="2"/>
      <c r="K84" s="2"/>
      <c r="L84" s="2"/>
      <c r="M84" s="2"/>
      <c r="N84" s="2"/>
      <c r="O84" s="2">
        <f t="shared" ref="O84:AT84" si="65">O105</f>
        <v>16867136.530000001</v>
      </c>
      <c r="P84" s="2">
        <f t="shared" si="65"/>
        <v>179302.61</v>
      </c>
      <c r="Q84" s="2">
        <f t="shared" si="65"/>
        <v>12201289.560000001</v>
      </c>
      <c r="R84" s="2">
        <f t="shared" si="65"/>
        <v>5760028.0199999996</v>
      </c>
      <c r="S84" s="2">
        <f t="shared" si="65"/>
        <v>4486544.3600000003</v>
      </c>
      <c r="T84" s="2">
        <f t="shared" si="65"/>
        <v>0</v>
      </c>
      <c r="U84" s="2">
        <f t="shared" si="65"/>
        <v>10340.769708000002</v>
      </c>
      <c r="V84" s="2">
        <f t="shared" si="65"/>
        <v>0</v>
      </c>
      <c r="W84" s="2">
        <f t="shared" si="65"/>
        <v>0</v>
      </c>
      <c r="X84" s="2">
        <f t="shared" si="65"/>
        <v>3140581.05</v>
      </c>
      <c r="Y84" s="2">
        <f t="shared" si="65"/>
        <v>448654.44</v>
      </c>
      <c r="Z84" s="2">
        <f t="shared" si="65"/>
        <v>0</v>
      </c>
      <c r="AA84" s="2">
        <f t="shared" si="65"/>
        <v>0</v>
      </c>
      <c r="AB84" s="2">
        <f t="shared" si="65"/>
        <v>16867136.530000001</v>
      </c>
      <c r="AC84" s="2">
        <f t="shared" si="65"/>
        <v>179302.61</v>
      </c>
      <c r="AD84" s="2">
        <f t="shared" si="65"/>
        <v>12201289.560000001</v>
      </c>
      <c r="AE84" s="2">
        <f t="shared" si="65"/>
        <v>5760028.0199999996</v>
      </c>
      <c r="AF84" s="2">
        <f t="shared" si="65"/>
        <v>4486544.3600000003</v>
      </c>
      <c r="AG84" s="2">
        <f t="shared" si="65"/>
        <v>0</v>
      </c>
      <c r="AH84" s="2">
        <f t="shared" si="65"/>
        <v>10340.769708000002</v>
      </c>
      <c r="AI84" s="2">
        <f t="shared" si="65"/>
        <v>0</v>
      </c>
      <c r="AJ84" s="2">
        <f t="shared" si="65"/>
        <v>0</v>
      </c>
      <c r="AK84" s="2">
        <f t="shared" si="65"/>
        <v>3140581.05</v>
      </c>
      <c r="AL84" s="2">
        <f t="shared" si="65"/>
        <v>448654.44</v>
      </c>
      <c r="AM84" s="2">
        <f t="shared" si="65"/>
        <v>0</v>
      </c>
      <c r="AN84" s="2">
        <f t="shared" si="65"/>
        <v>0</v>
      </c>
      <c r="AO84" s="2">
        <f t="shared" si="65"/>
        <v>0</v>
      </c>
      <c r="AP84" s="2">
        <f t="shared" si="65"/>
        <v>0</v>
      </c>
      <c r="AQ84" s="2">
        <f t="shared" si="65"/>
        <v>0</v>
      </c>
      <c r="AR84" s="2">
        <f t="shared" si="65"/>
        <v>26677202.280000001</v>
      </c>
      <c r="AS84" s="2">
        <f t="shared" si="65"/>
        <v>0</v>
      </c>
      <c r="AT84" s="2">
        <f t="shared" si="65"/>
        <v>0</v>
      </c>
      <c r="AU84" s="2">
        <f t="shared" ref="AU84:BZ84" si="66">AU105</f>
        <v>26677202.280000001</v>
      </c>
      <c r="AV84" s="2">
        <f t="shared" si="66"/>
        <v>179302.61</v>
      </c>
      <c r="AW84" s="2">
        <f t="shared" si="66"/>
        <v>179302.61</v>
      </c>
      <c r="AX84" s="2">
        <f t="shared" si="66"/>
        <v>0</v>
      </c>
      <c r="AY84" s="2">
        <f t="shared" si="66"/>
        <v>179302.61</v>
      </c>
      <c r="AZ84" s="2">
        <f t="shared" si="66"/>
        <v>0</v>
      </c>
      <c r="BA84" s="2">
        <f t="shared" si="66"/>
        <v>0</v>
      </c>
      <c r="BB84" s="2">
        <f t="shared" si="66"/>
        <v>0</v>
      </c>
      <c r="BC84" s="2">
        <f t="shared" si="66"/>
        <v>0</v>
      </c>
      <c r="BD84" s="2">
        <f t="shared" si="66"/>
        <v>0</v>
      </c>
      <c r="BE84" s="2">
        <f t="shared" si="66"/>
        <v>0</v>
      </c>
      <c r="BF84" s="2">
        <f t="shared" si="66"/>
        <v>0</v>
      </c>
      <c r="BG84" s="2">
        <f t="shared" si="66"/>
        <v>0</v>
      </c>
      <c r="BH84" s="2">
        <f t="shared" si="66"/>
        <v>0</v>
      </c>
      <c r="BI84" s="2">
        <f t="shared" si="66"/>
        <v>0</v>
      </c>
      <c r="BJ84" s="2">
        <f t="shared" si="66"/>
        <v>0</v>
      </c>
      <c r="BK84" s="2">
        <f t="shared" si="66"/>
        <v>0</v>
      </c>
      <c r="BL84" s="2">
        <f t="shared" si="66"/>
        <v>0</v>
      </c>
      <c r="BM84" s="2">
        <f t="shared" si="66"/>
        <v>0</v>
      </c>
      <c r="BN84" s="2">
        <f t="shared" si="66"/>
        <v>0</v>
      </c>
      <c r="BO84" s="2">
        <f t="shared" si="66"/>
        <v>0</v>
      </c>
      <c r="BP84" s="2">
        <f t="shared" si="66"/>
        <v>0</v>
      </c>
      <c r="BQ84" s="2">
        <f t="shared" si="66"/>
        <v>0</v>
      </c>
      <c r="BR84" s="2">
        <f t="shared" si="66"/>
        <v>0</v>
      </c>
      <c r="BS84" s="2">
        <f t="shared" si="66"/>
        <v>0</v>
      </c>
      <c r="BT84" s="2">
        <f t="shared" si="66"/>
        <v>0</v>
      </c>
      <c r="BU84" s="2">
        <f t="shared" si="66"/>
        <v>0</v>
      </c>
      <c r="BV84" s="2">
        <f t="shared" si="66"/>
        <v>0</v>
      </c>
      <c r="BW84" s="2">
        <f t="shared" si="66"/>
        <v>0</v>
      </c>
      <c r="BX84" s="2">
        <f t="shared" si="66"/>
        <v>0</v>
      </c>
      <c r="BY84" s="2">
        <f t="shared" si="66"/>
        <v>0</v>
      </c>
      <c r="BZ84" s="2">
        <f t="shared" si="66"/>
        <v>0</v>
      </c>
      <c r="CA84" s="2">
        <f t="shared" ref="CA84:DF84" si="67">CA105</f>
        <v>26677202.280000001</v>
      </c>
      <c r="CB84" s="2">
        <f t="shared" si="67"/>
        <v>0</v>
      </c>
      <c r="CC84" s="2">
        <f t="shared" si="67"/>
        <v>0</v>
      </c>
      <c r="CD84" s="2">
        <f t="shared" si="67"/>
        <v>26677202.280000001</v>
      </c>
      <c r="CE84" s="2">
        <f t="shared" si="67"/>
        <v>179302.61</v>
      </c>
      <c r="CF84" s="2">
        <f t="shared" si="67"/>
        <v>179302.61</v>
      </c>
      <c r="CG84" s="2">
        <f t="shared" si="67"/>
        <v>0</v>
      </c>
      <c r="CH84" s="2">
        <f t="shared" si="67"/>
        <v>179302.61</v>
      </c>
      <c r="CI84" s="2">
        <f t="shared" si="67"/>
        <v>0</v>
      </c>
      <c r="CJ84" s="2">
        <f t="shared" si="67"/>
        <v>0</v>
      </c>
      <c r="CK84" s="2">
        <f t="shared" si="67"/>
        <v>0</v>
      </c>
      <c r="CL84" s="2">
        <f t="shared" si="67"/>
        <v>0</v>
      </c>
      <c r="CM84" s="2">
        <f t="shared" si="67"/>
        <v>0</v>
      </c>
      <c r="CN84" s="2">
        <f t="shared" si="67"/>
        <v>0</v>
      </c>
      <c r="CO84" s="2">
        <f t="shared" si="67"/>
        <v>0</v>
      </c>
      <c r="CP84" s="2">
        <f t="shared" si="67"/>
        <v>0</v>
      </c>
      <c r="CQ84" s="2">
        <f t="shared" si="67"/>
        <v>0</v>
      </c>
      <c r="CR84" s="2">
        <f t="shared" si="67"/>
        <v>0</v>
      </c>
      <c r="CS84" s="2">
        <f t="shared" si="67"/>
        <v>0</v>
      </c>
      <c r="CT84" s="2">
        <f t="shared" si="67"/>
        <v>0</v>
      </c>
      <c r="CU84" s="2">
        <f t="shared" si="67"/>
        <v>0</v>
      </c>
      <c r="CV84" s="2">
        <f t="shared" si="67"/>
        <v>0</v>
      </c>
      <c r="CW84" s="2">
        <f t="shared" si="67"/>
        <v>0</v>
      </c>
      <c r="CX84" s="2">
        <f t="shared" si="67"/>
        <v>0</v>
      </c>
      <c r="CY84" s="2">
        <f t="shared" si="67"/>
        <v>0</v>
      </c>
      <c r="CZ84" s="2">
        <f t="shared" si="67"/>
        <v>0</v>
      </c>
      <c r="DA84" s="2">
        <f t="shared" si="67"/>
        <v>0</v>
      </c>
      <c r="DB84" s="2">
        <f t="shared" si="67"/>
        <v>0</v>
      </c>
      <c r="DC84" s="2">
        <f t="shared" si="67"/>
        <v>0</v>
      </c>
      <c r="DD84" s="2">
        <f t="shared" si="67"/>
        <v>0</v>
      </c>
      <c r="DE84" s="2">
        <f t="shared" si="67"/>
        <v>0</v>
      </c>
      <c r="DF84" s="2">
        <f t="shared" si="67"/>
        <v>0</v>
      </c>
      <c r="DG84" s="3">
        <f t="shared" ref="DG84:EL84" si="68">DG105</f>
        <v>0</v>
      </c>
      <c r="DH84" s="3">
        <f t="shared" si="68"/>
        <v>0</v>
      </c>
      <c r="DI84" s="3">
        <f t="shared" si="68"/>
        <v>0</v>
      </c>
      <c r="DJ84" s="3">
        <f t="shared" si="68"/>
        <v>0</v>
      </c>
      <c r="DK84" s="3">
        <f t="shared" si="68"/>
        <v>0</v>
      </c>
      <c r="DL84" s="3">
        <f t="shared" si="68"/>
        <v>0</v>
      </c>
      <c r="DM84" s="3">
        <f t="shared" si="68"/>
        <v>0</v>
      </c>
      <c r="DN84" s="3">
        <f t="shared" si="68"/>
        <v>0</v>
      </c>
      <c r="DO84" s="3">
        <f t="shared" si="68"/>
        <v>0</v>
      </c>
      <c r="DP84" s="3">
        <f t="shared" si="68"/>
        <v>0</v>
      </c>
      <c r="DQ84" s="3">
        <f t="shared" si="68"/>
        <v>0</v>
      </c>
      <c r="DR84" s="3">
        <f t="shared" si="68"/>
        <v>0</v>
      </c>
      <c r="DS84" s="3">
        <f t="shared" si="68"/>
        <v>0</v>
      </c>
      <c r="DT84" s="3">
        <f t="shared" si="68"/>
        <v>0</v>
      </c>
      <c r="DU84" s="3">
        <f t="shared" si="68"/>
        <v>0</v>
      </c>
      <c r="DV84" s="3">
        <f t="shared" si="68"/>
        <v>0</v>
      </c>
      <c r="DW84" s="3">
        <f t="shared" si="68"/>
        <v>0</v>
      </c>
      <c r="DX84" s="3">
        <f t="shared" si="68"/>
        <v>0</v>
      </c>
      <c r="DY84" s="3">
        <f t="shared" si="68"/>
        <v>0</v>
      </c>
      <c r="DZ84" s="3">
        <f t="shared" si="68"/>
        <v>0</v>
      </c>
      <c r="EA84" s="3">
        <f t="shared" si="68"/>
        <v>0</v>
      </c>
      <c r="EB84" s="3">
        <f t="shared" si="68"/>
        <v>0</v>
      </c>
      <c r="EC84" s="3">
        <f t="shared" si="68"/>
        <v>0</v>
      </c>
      <c r="ED84" s="3">
        <f t="shared" si="68"/>
        <v>0</v>
      </c>
      <c r="EE84" s="3">
        <f t="shared" si="68"/>
        <v>0</v>
      </c>
      <c r="EF84" s="3">
        <f t="shared" si="68"/>
        <v>0</v>
      </c>
      <c r="EG84" s="3">
        <f t="shared" si="68"/>
        <v>0</v>
      </c>
      <c r="EH84" s="3">
        <f t="shared" si="68"/>
        <v>0</v>
      </c>
      <c r="EI84" s="3">
        <f t="shared" si="68"/>
        <v>0</v>
      </c>
      <c r="EJ84" s="3">
        <f t="shared" si="68"/>
        <v>0</v>
      </c>
      <c r="EK84" s="3">
        <f t="shared" si="68"/>
        <v>0</v>
      </c>
      <c r="EL84" s="3">
        <f t="shared" si="68"/>
        <v>0</v>
      </c>
      <c r="EM84" s="3">
        <f t="shared" ref="EM84:FR84" si="69">EM105</f>
        <v>0</v>
      </c>
      <c r="EN84" s="3">
        <f t="shared" si="69"/>
        <v>0</v>
      </c>
      <c r="EO84" s="3">
        <f t="shared" si="69"/>
        <v>0</v>
      </c>
      <c r="EP84" s="3">
        <f t="shared" si="69"/>
        <v>0</v>
      </c>
      <c r="EQ84" s="3">
        <f t="shared" si="69"/>
        <v>0</v>
      </c>
      <c r="ER84" s="3">
        <f t="shared" si="69"/>
        <v>0</v>
      </c>
      <c r="ES84" s="3">
        <f t="shared" si="69"/>
        <v>0</v>
      </c>
      <c r="ET84" s="3">
        <f t="shared" si="69"/>
        <v>0</v>
      </c>
      <c r="EU84" s="3">
        <f t="shared" si="69"/>
        <v>0</v>
      </c>
      <c r="EV84" s="3">
        <f t="shared" si="69"/>
        <v>0</v>
      </c>
      <c r="EW84" s="3">
        <f t="shared" si="69"/>
        <v>0</v>
      </c>
      <c r="EX84" s="3">
        <f t="shared" si="69"/>
        <v>0</v>
      </c>
      <c r="EY84" s="3">
        <f t="shared" si="69"/>
        <v>0</v>
      </c>
      <c r="EZ84" s="3">
        <f t="shared" si="69"/>
        <v>0</v>
      </c>
      <c r="FA84" s="3">
        <f t="shared" si="69"/>
        <v>0</v>
      </c>
      <c r="FB84" s="3">
        <f t="shared" si="69"/>
        <v>0</v>
      </c>
      <c r="FC84" s="3">
        <f t="shared" si="69"/>
        <v>0</v>
      </c>
      <c r="FD84" s="3">
        <f t="shared" si="69"/>
        <v>0</v>
      </c>
      <c r="FE84" s="3">
        <f t="shared" si="69"/>
        <v>0</v>
      </c>
      <c r="FF84" s="3">
        <f t="shared" si="69"/>
        <v>0</v>
      </c>
      <c r="FG84" s="3">
        <f t="shared" si="69"/>
        <v>0</v>
      </c>
      <c r="FH84" s="3">
        <f t="shared" si="69"/>
        <v>0</v>
      </c>
      <c r="FI84" s="3">
        <f t="shared" si="69"/>
        <v>0</v>
      </c>
      <c r="FJ84" s="3">
        <f t="shared" si="69"/>
        <v>0</v>
      </c>
      <c r="FK84" s="3">
        <f t="shared" si="69"/>
        <v>0</v>
      </c>
      <c r="FL84" s="3">
        <f t="shared" si="69"/>
        <v>0</v>
      </c>
      <c r="FM84" s="3">
        <f t="shared" si="69"/>
        <v>0</v>
      </c>
      <c r="FN84" s="3">
        <f t="shared" si="69"/>
        <v>0</v>
      </c>
      <c r="FO84" s="3">
        <f t="shared" si="69"/>
        <v>0</v>
      </c>
      <c r="FP84" s="3">
        <f t="shared" si="69"/>
        <v>0</v>
      </c>
      <c r="FQ84" s="3">
        <f t="shared" si="69"/>
        <v>0</v>
      </c>
      <c r="FR84" s="3">
        <f t="shared" si="69"/>
        <v>0</v>
      </c>
      <c r="FS84" s="3">
        <f t="shared" ref="FS84:GX84" si="70">FS105</f>
        <v>0</v>
      </c>
      <c r="FT84" s="3">
        <f t="shared" si="70"/>
        <v>0</v>
      </c>
      <c r="FU84" s="3">
        <f t="shared" si="70"/>
        <v>0</v>
      </c>
      <c r="FV84" s="3">
        <f t="shared" si="70"/>
        <v>0</v>
      </c>
      <c r="FW84" s="3">
        <f t="shared" si="70"/>
        <v>0</v>
      </c>
      <c r="FX84" s="3">
        <f t="shared" si="70"/>
        <v>0</v>
      </c>
      <c r="FY84" s="3">
        <f t="shared" si="70"/>
        <v>0</v>
      </c>
      <c r="FZ84" s="3">
        <f t="shared" si="70"/>
        <v>0</v>
      </c>
      <c r="GA84" s="3">
        <f t="shared" si="70"/>
        <v>0</v>
      </c>
      <c r="GB84" s="3">
        <f t="shared" si="70"/>
        <v>0</v>
      </c>
      <c r="GC84" s="3">
        <f t="shared" si="70"/>
        <v>0</v>
      </c>
      <c r="GD84" s="3">
        <f t="shared" si="70"/>
        <v>0</v>
      </c>
      <c r="GE84" s="3">
        <f t="shared" si="70"/>
        <v>0</v>
      </c>
      <c r="GF84" s="3">
        <f t="shared" si="70"/>
        <v>0</v>
      </c>
      <c r="GG84" s="3">
        <f t="shared" si="70"/>
        <v>0</v>
      </c>
      <c r="GH84" s="3">
        <f t="shared" si="70"/>
        <v>0</v>
      </c>
      <c r="GI84" s="3">
        <f t="shared" si="70"/>
        <v>0</v>
      </c>
      <c r="GJ84" s="3">
        <f t="shared" si="70"/>
        <v>0</v>
      </c>
      <c r="GK84" s="3">
        <f t="shared" si="70"/>
        <v>0</v>
      </c>
      <c r="GL84" s="3">
        <f t="shared" si="70"/>
        <v>0</v>
      </c>
      <c r="GM84" s="3">
        <f t="shared" si="70"/>
        <v>0</v>
      </c>
      <c r="GN84" s="3">
        <f t="shared" si="70"/>
        <v>0</v>
      </c>
      <c r="GO84" s="3">
        <f t="shared" si="70"/>
        <v>0</v>
      </c>
      <c r="GP84" s="3">
        <f t="shared" si="70"/>
        <v>0</v>
      </c>
      <c r="GQ84" s="3">
        <f t="shared" si="70"/>
        <v>0</v>
      </c>
      <c r="GR84" s="3">
        <f t="shared" si="70"/>
        <v>0</v>
      </c>
      <c r="GS84" s="3">
        <f t="shared" si="70"/>
        <v>0</v>
      </c>
      <c r="GT84" s="3">
        <f t="shared" si="70"/>
        <v>0</v>
      </c>
      <c r="GU84" s="3">
        <f t="shared" si="70"/>
        <v>0</v>
      </c>
      <c r="GV84" s="3">
        <f t="shared" si="70"/>
        <v>0</v>
      </c>
      <c r="GW84" s="3">
        <f t="shared" si="70"/>
        <v>0</v>
      </c>
      <c r="GX84" s="3">
        <f t="shared" si="70"/>
        <v>0</v>
      </c>
    </row>
    <row r="86" spans="1:245" x14ac:dyDescent="0.25">
      <c r="A86">
        <v>17</v>
      </c>
      <c r="B86">
        <v>1</v>
      </c>
      <c r="C86">
        <f>ROW(SmtRes!A28)</f>
        <v>28</v>
      </c>
      <c r="D86">
        <f>ROW(EtalonRes!A28)</f>
        <v>28</v>
      </c>
      <c r="E86" t="s">
        <v>160</v>
      </c>
      <c r="F86" t="s">
        <v>32</v>
      </c>
      <c r="G86" t="s">
        <v>33</v>
      </c>
      <c r="H86" t="s">
        <v>20</v>
      </c>
      <c r="I86">
        <v>123.58328</v>
      </c>
      <c r="J86">
        <v>0</v>
      </c>
      <c r="K86">
        <v>123.58328</v>
      </c>
      <c r="O86">
        <f t="shared" ref="O86:O103" si="71">ROUND(CP86,2)</f>
        <v>10029810.15</v>
      </c>
      <c r="P86">
        <f t="shared" ref="P86:P103" si="72">ROUND(CQ86*I86,2)</f>
        <v>231614.84</v>
      </c>
      <c r="Q86">
        <f t="shared" ref="Q86:Q103" si="73">ROUND(CR86*I86,2)</f>
        <v>9798195.3100000005</v>
      </c>
      <c r="R86">
        <f t="shared" ref="R86:R103" si="74">ROUND(CS86*I86,2)</f>
        <v>4631240.16</v>
      </c>
      <c r="S86">
        <f t="shared" ref="S86:S103" si="75">ROUND(CT86*I86,2)</f>
        <v>0</v>
      </c>
      <c r="T86">
        <f t="shared" ref="T86:T103" si="76">ROUND(CU86*I86,2)</f>
        <v>0</v>
      </c>
      <c r="U86">
        <f t="shared" ref="U86:U103" si="77">CV86*I86</f>
        <v>0</v>
      </c>
      <c r="V86">
        <f t="shared" ref="V86:V103" si="78">CW86*I86</f>
        <v>0</v>
      </c>
      <c r="W86">
        <f t="shared" ref="W86:W103" si="79">ROUND(CX86*I86,2)</f>
        <v>0</v>
      </c>
      <c r="X86">
        <f t="shared" ref="X86:X103" si="80">ROUND(CY86,2)</f>
        <v>0</v>
      </c>
      <c r="Y86">
        <f t="shared" ref="Y86:Y103" si="81">ROUND(CZ86,2)</f>
        <v>0</v>
      </c>
      <c r="AA86">
        <v>80889732</v>
      </c>
      <c r="AB86">
        <f t="shared" ref="AB86:AB103" si="82">ROUND((AC86+AD86+AF86),6)</f>
        <v>81158.31</v>
      </c>
      <c r="AC86">
        <f>ROUND(((ES86*171)),6)</f>
        <v>1874.16</v>
      </c>
      <c r="AD86">
        <f>ROUND(((((ET86*171))-((EU86*171)))+AE86),6)</f>
        <v>79284.149999999994</v>
      </c>
      <c r="AE86">
        <f>ROUND(((EU86*171)),6)</f>
        <v>37474.65</v>
      </c>
      <c r="AF86">
        <f>ROUND(((EV86*171)),6)</f>
        <v>0</v>
      </c>
      <c r="AG86">
        <f t="shared" ref="AG86:AG103" si="83">ROUND((AP86),6)</f>
        <v>0</v>
      </c>
      <c r="AH86">
        <f>((EW86*171))</f>
        <v>0</v>
      </c>
      <c r="AI86">
        <f>((EX86*171))</f>
        <v>0</v>
      </c>
      <c r="AJ86">
        <f t="shared" ref="AJ86:AJ103" si="84">(AS86)</f>
        <v>0</v>
      </c>
      <c r="AK86">
        <v>474.61</v>
      </c>
      <c r="AL86">
        <v>10.96</v>
      </c>
      <c r="AM86">
        <v>463.65</v>
      </c>
      <c r="AN86">
        <v>219.15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70</v>
      </c>
      <c r="AU86">
        <v>10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3</v>
      </c>
      <c r="BE86" t="s">
        <v>3</v>
      </c>
      <c r="BF86" t="s">
        <v>3</v>
      </c>
      <c r="BG86" t="s">
        <v>3</v>
      </c>
      <c r="BH86">
        <v>0</v>
      </c>
      <c r="BI86">
        <v>4</v>
      </c>
      <c r="BJ86" t="s">
        <v>34</v>
      </c>
      <c r="BM86">
        <v>0</v>
      </c>
      <c r="BN86">
        <v>0</v>
      </c>
      <c r="BO86" t="s">
        <v>3</v>
      </c>
      <c r="BP86">
        <v>0</v>
      </c>
      <c r="BQ86">
        <v>1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70</v>
      </c>
      <c r="CA86">
        <v>10</v>
      </c>
      <c r="CB86" t="s">
        <v>3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ref="CP86:CP103" si="85">(P86+Q86+S86)</f>
        <v>10029810.15</v>
      </c>
      <c r="CQ86">
        <f t="shared" ref="CQ86:CQ103" si="86">(AC86*BC86*AW86)</f>
        <v>1874.16</v>
      </c>
      <c r="CR86">
        <f>(((((ET86*171))*BB86-((EU86*171))*BS86)+AE86*BS86)*AV86)</f>
        <v>79284.149999999994</v>
      </c>
      <c r="CS86">
        <f t="shared" ref="CS86:CS103" si="87">(AE86*BS86*AV86)</f>
        <v>37474.65</v>
      </c>
      <c r="CT86">
        <f t="shared" ref="CT86:CT103" si="88">(AF86*BA86*AV86)</f>
        <v>0</v>
      </c>
      <c r="CU86">
        <f t="shared" ref="CU86:CU103" si="89">AG86</f>
        <v>0</v>
      </c>
      <c r="CV86">
        <f t="shared" ref="CV86:CV103" si="90">(AH86*AV86)</f>
        <v>0</v>
      </c>
      <c r="CW86">
        <f t="shared" ref="CW86:CW103" si="91">AI86</f>
        <v>0</v>
      </c>
      <c r="CX86">
        <f t="shared" ref="CX86:CX103" si="92">AJ86</f>
        <v>0</v>
      </c>
      <c r="CY86">
        <f t="shared" ref="CY86:CY103" si="93">((S86*BZ86)/100)</f>
        <v>0</v>
      </c>
      <c r="CZ86">
        <f t="shared" ref="CZ86:CZ103" si="94">((S86*CA86)/100)</f>
        <v>0</v>
      </c>
      <c r="DC86" t="s">
        <v>3</v>
      </c>
      <c r="DD86" t="s">
        <v>161</v>
      </c>
      <c r="DE86" t="s">
        <v>161</v>
      </c>
      <c r="DF86" t="s">
        <v>161</v>
      </c>
      <c r="DG86" t="s">
        <v>161</v>
      </c>
      <c r="DH86" t="s">
        <v>3</v>
      </c>
      <c r="DI86" t="s">
        <v>161</v>
      </c>
      <c r="DJ86" t="s">
        <v>161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1005</v>
      </c>
      <c r="DV86" t="s">
        <v>20</v>
      </c>
      <c r="DW86" t="s">
        <v>20</v>
      </c>
      <c r="DX86">
        <v>1000</v>
      </c>
      <c r="DZ86" t="s">
        <v>3</v>
      </c>
      <c r="EA86" t="s">
        <v>3</v>
      </c>
      <c r="EB86" t="s">
        <v>3</v>
      </c>
      <c r="EC86" t="s">
        <v>3</v>
      </c>
      <c r="EE86">
        <v>80196140</v>
      </c>
      <c r="EF86">
        <v>1</v>
      </c>
      <c r="EG86" t="s">
        <v>23</v>
      </c>
      <c r="EH86">
        <v>0</v>
      </c>
      <c r="EI86" t="s">
        <v>3</v>
      </c>
      <c r="EJ86">
        <v>4</v>
      </c>
      <c r="EK86">
        <v>0</v>
      </c>
      <c r="EL86" t="s">
        <v>24</v>
      </c>
      <c r="EM86" t="s">
        <v>25</v>
      </c>
      <c r="EO86" t="s">
        <v>3</v>
      </c>
      <c r="EQ86">
        <v>0</v>
      </c>
      <c r="ER86">
        <v>474.61</v>
      </c>
      <c r="ES86">
        <v>10.96</v>
      </c>
      <c r="ET86">
        <v>463.65</v>
      </c>
      <c r="EU86">
        <v>219.15</v>
      </c>
      <c r="EV86">
        <v>0</v>
      </c>
      <c r="EW86">
        <v>0</v>
      </c>
      <c r="EX86">
        <v>0</v>
      </c>
      <c r="EY86">
        <v>0</v>
      </c>
      <c r="FQ86">
        <v>0</v>
      </c>
      <c r="FR86">
        <v>0</v>
      </c>
      <c r="FS86">
        <v>0</v>
      </c>
      <c r="FX86">
        <v>70</v>
      </c>
      <c r="FY86">
        <v>10</v>
      </c>
      <c r="GA86" t="s">
        <v>3</v>
      </c>
      <c r="GD86">
        <v>0</v>
      </c>
      <c r="GF86">
        <v>-64890484</v>
      </c>
      <c r="GG86">
        <v>2</v>
      </c>
      <c r="GH86">
        <v>1</v>
      </c>
      <c r="GI86">
        <v>-2</v>
      </c>
      <c r="GJ86">
        <v>0</v>
      </c>
      <c r="GK86">
        <f>ROUND(R86*(R12)/100,2)</f>
        <v>5001739.37</v>
      </c>
      <c r="GL86">
        <f t="shared" ref="GL86:GL103" si="95">ROUND(IF(AND(BH86=3,BI86=3,FS86&lt;&gt;0),P86,0),2)</f>
        <v>0</v>
      </c>
      <c r="GM86">
        <f t="shared" ref="GM86:GM103" si="96">ROUND(O86+X86+Y86+GK86,2)+GX86</f>
        <v>15031549.52</v>
      </c>
      <c r="GN86">
        <f t="shared" ref="GN86:GN103" si="97">IF(OR(BI86=0,BI86=1),GM86-GX86,0)</f>
        <v>0</v>
      </c>
      <c r="GO86">
        <f t="shared" ref="GO86:GO103" si="98">IF(BI86=2,GM86-GX86,0)</f>
        <v>0</v>
      </c>
      <c r="GP86">
        <f t="shared" ref="GP86:GP103" si="99">IF(BI86=4,GM86-GX86,0)</f>
        <v>15031549.52</v>
      </c>
      <c r="GR86">
        <v>0</v>
      </c>
      <c r="GS86">
        <v>3</v>
      </c>
      <c r="GT86">
        <v>0</v>
      </c>
      <c r="GU86" t="s">
        <v>3</v>
      </c>
      <c r="GV86">
        <f t="shared" ref="GV86:GV103" si="100">ROUND((GT86),6)</f>
        <v>0</v>
      </c>
      <c r="GW86">
        <v>1</v>
      </c>
      <c r="GX86">
        <f t="shared" ref="GX86:GX103" si="101">ROUND(HC86*I86,2)</f>
        <v>0</v>
      </c>
      <c r="HA86">
        <v>0</v>
      </c>
      <c r="HB86">
        <v>0</v>
      </c>
      <c r="HC86">
        <f t="shared" ref="HC86:HC103" si="102">GV86*GW86</f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HS86">
        <v>0</v>
      </c>
      <c r="IK86">
        <v>0</v>
      </c>
    </row>
    <row r="87" spans="1:245" x14ac:dyDescent="0.25">
      <c r="A87">
        <v>18</v>
      </c>
      <c r="B87">
        <v>1</v>
      </c>
      <c r="C87">
        <v>28</v>
      </c>
      <c r="E87" t="s">
        <v>162</v>
      </c>
      <c r="F87" t="s">
        <v>37</v>
      </c>
      <c r="G87" t="s">
        <v>38</v>
      </c>
      <c r="H87" t="s">
        <v>39</v>
      </c>
      <c r="I87">
        <f>I86*J87</f>
        <v>-4226.5481760000002</v>
      </c>
      <c r="J87">
        <v>-34.200000000000003</v>
      </c>
      <c r="K87">
        <v>-0.2</v>
      </c>
      <c r="O87">
        <f t="shared" si="71"/>
        <v>-231657.11</v>
      </c>
      <c r="P87">
        <f t="shared" si="72"/>
        <v>-231657.11</v>
      </c>
      <c r="Q87">
        <f t="shared" si="73"/>
        <v>0</v>
      </c>
      <c r="R87">
        <f t="shared" si="74"/>
        <v>0</v>
      </c>
      <c r="S87">
        <f t="shared" si="75"/>
        <v>0</v>
      </c>
      <c r="T87">
        <f t="shared" si="76"/>
        <v>0</v>
      </c>
      <c r="U87">
        <f t="shared" si="77"/>
        <v>0</v>
      </c>
      <c r="V87">
        <f t="shared" si="78"/>
        <v>0</v>
      </c>
      <c r="W87">
        <f t="shared" si="79"/>
        <v>0</v>
      </c>
      <c r="X87">
        <f t="shared" si="80"/>
        <v>0</v>
      </c>
      <c r="Y87">
        <f t="shared" si="81"/>
        <v>0</v>
      </c>
      <c r="AA87">
        <v>80889732</v>
      </c>
      <c r="AB87">
        <f t="shared" si="82"/>
        <v>54.81</v>
      </c>
      <c r="AC87">
        <f>ROUND((ES87),6)</f>
        <v>54.81</v>
      </c>
      <c r="AD87">
        <f>ROUND((((ET87)-(EU87))+AE87),6)</f>
        <v>0</v>
      </c>
      <c r="AE87">
        <f>ROUND((EU87),6)</f>
        <v>0</v>
      </c>
      <c r="AF87">
        <f>ROUND((EV87),6)</f>
        <v>0</v>
      </c>
      <c r="AG87">
        <f t="shared" si="83"/>
        <v>0</v>
      </c>
      <c r="AH87">
        <f>(EW87)</f>
        <v>0</v>
      </c>
      <c r="AI87">
        <f>(EX87)</f>
        <v>0</v>
      </c>
      <c r="AJ87">
        <f t="shared" si="84"/>
        <v>0</v>
      </c>
      <c r="AK87">
        <v>54.81</v>
      </c>
      <c r="AL87">
        <v>54.81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70</v>
      </c>
      <c r="AU87">
        <v>10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1</v>
      </c>
      <c r="BD87" t="s">
        <v>3</v>
      </c>
      <c r="BE87" t="s">
        <v>3</v>
      </c>
      <c r="BF87" t="s">
        <v>3</v>
      </c>
      <c r="BG87" t="s">
        <v>3</v>
      </c>
      <c r="BH87">
        <v>3</v>
      </c>
      <c r="BI87">
        <v>4</v>
      </c>
      <c r="BJ87" t="s">
        <v>40</v>
      </c>
      <c r="BM87">
        <v>0</v>
      </c>
      <c r="BN87">
        <v>0</v>
      </c>
      <c r="BO87" t="s">
        <v>3</v>
      </c>
      <c r="BP87">
        <v>0</v>
      </c>
      <c r="BQ87">
        <v>1</v>
      </c>
      <c r="BR87">
        <v>1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70</v>
      </c>
      <c r="CA87">
        <v>10</v>
      </c>
      <c r="CB87" t="s">
        <v>3</v>
      </c>
      <c r="CE87">
        <v>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85"/>
        <v>-231657.11</v>
      </c>
      <c r="CQ87">
        <f t="shared" si="86"/>
        <v>54.81</v>
      </c>
      <c r="CR87">
        <f>((((ET87)*BB87-(EU87)*BS87)+AE87*BS87)*AV87)</f>
        <v>0</v>
      </c>
      <c r="CS87">
        <f t="shared" si="87"/>
        <v>0</v>
      </c>
      <c r="CT87">
        <f t="shared" si="88"/>
        <v>0</v>
      </c>
      <c r="CU87">
        <f t="shared" si="89"/>
        <v>0</v>
      </c>
      <c r="CV87">
        <f t="shared" si="90"/>
        <v>0</v>
      </c>
      <c r="CW87">
        <f t="shared" si="91"/>
        <v>0</v>
      </c>
      <c r="CX87">
        <f t="shared" si="92"/>
        <v>0</v>
      </c>
      <c r="CY87">
        <f t="shared" si="93"/>
        <v>0</v>
      </c>
      <c r="CZ87">
        <f t="shared" si="94"/>
        <v>0</v>
      </c>
      <c r="DC87" t="s">
        <v>3</v>
      </c>
      <c r="DD87" t="s">
        <v>3</v>
      </c>
      <c r="DE87" t="s">
        <v>3</v>
      </c>
      <c r="DF87" t="s">
        <v>3</v>
      </c>
      <c r="DG87" t="s">
        <v>3</v>
      </c>
      <c r="DH87" t="s">
        <v>3</v>
      </c>
      <c r="DI87" t="s">
        <v>3</v>
      </c>
      <c r="DJ87" t="s">
        <v>3</v>
      </c>
      <c r="DK87" t="s">
        <v>3</v>
      </c>
      <c r="DL87" t="s">
        <v>3</v>
      </c>
      <c r="DM87" t="s">
        <v>3</v>
      </c>
      <c r="DN87">
        <v>0</v>
      </c>
      <c r="DO87">
        <v>0</v>
      </c>
      <c r="DP87">
        <v>1</v>
      </c>
      <c r="DQ87">
        <v>1</v>
      </c>
      <c r="DU87">
        <v>1007</v>
      </c>
      <c r="DV87" t="s">
        <v>39</v>
      </c>
      <c r="DW87" t="s">
        <v>39</v>
      </c>
      <c r="DX87">
        <v>1</v>
      </c>
      <c r="DZ87" t="s">
        <v>3</v>
      </c>
      <c r="EA87" t="s">
        <v>3</v>
      </c>
      <c r="EB87" t="s">
        <v>3</v>
      </c>
      <c r="EC87" t="s">
        <v>3</v>
      </c>
      <c r="EE87">
        <v>80196140</v>
      </c>
      <c r="EF87">
        <v>1</v>
      </c>
      <c r="EG87" t="s">
        <v>23</v>
      </c>
      <c r="EH87">
        <v>0</v>
      </c>
      <c r="EI87" t="s">
        <v>3</v>
      </c>
      <c r="EJ87">
        <v>4</v>
      </c>
      <c r="EK87">
        <v>0</v>
      </c>
      <c r="EL87" t="s">
        <v>24</v>
      </c>
      <c r="EM87" t="s">
        <v>25</v>
      </c>
      <c r="EO87" t="s">
        <v>3</v>
      </c>
      <c r="EQ87">
        <v>0</v>
      </c>
      <c r="ER87">
        <v>54.81</v>
      </c>
      <c r="ES87">
        <v>54.81</v>
      </c>
      <c r="ET87">
        <v>0</v>
      </c>
      <c r="EU87">
        <v>0</v>
      </c>
      <c r="EV87">
        <v>0</v>
      </c>
      <c r="EW87">
        <v>0</v>
      </c>
      <c r="EX87">
        <v>0</v>
      </c>
      <c r="FQ87">
        <v>0</v>
      </c>
      <c r="FR87">
        <v>0</v>
      </c>
      <c r="FS87">
        <v>0</v>
      </c>
      <c r="FX87">
        <v>70</v>
      </c>
      <c r="FY87">
        <v>10</v>
      </c>
      <c r="GA87" t="s">
        <v>3</v>
      </c>
      <c r="GD87">
        <v>0</v>
      </c>
      <c r="GF87">
        <v>2112060389</v>
      </c>
      <c r="GG87">
        <v>2</v>
      </c>
      <c r="GH87">
        <v>1</v>
      </c>
      <c r="GI87">
        <v>-2</v>
      </c>
      <c r="GJ87">
        <v>0</v>
      </c>
      <c r="GK87">
        <f>ROUND(R87*(R12)/100,2)</f>
        <v>0</v>
      </c>
      <c r="GL87">
        <f t="shared" si="95"/>
        <v>0</v>
      </c>
      <c r="GM87">
        <f t="shared" si="96"/>
        <v>-231657.11</v>
      </c>
      <c r="GN87">
        <f t="shared" si="97"/>
        <v>0</v>
      </c>
      <c r="GO87">
        <f t="shared" si="98"/>
        <v>0</v>
      </c>
      <c r="GP87">
        <f t="shared" si="99"/>
        <v>-231657.11</v>
      </c>
      <c r="GR87">
        <v>0</v>
      </c>
      <c r="GS87">
        <v>3</v>
      </c>
      <c r="GT87">
        <v>0</v>
      </c>
      <c r="GU87" t="s">
        <v>3</v>
      </c>
      <c r="GV87">
        <f t="shared" si="100"/>
        <v>0</v>
      </c>
      <c r="GW87">
        <v>1</v>
      </c>
      <c r="GX87">
        <f t="shared" si="101"/>
        <v>0</v>
      </c>
      <c r="HA87">
        <v>0</v>
      </c>
      <c r="HB87">
        <v>0</v>
      </c>
      <c r="HC87">
        <f t="shared" si="102"/>
        <v>0</v>
      </c>
      <c r="HE87" t="s">
        <v>3</v>
      </c>
      <c r="HF87" t="s">
        <v>3</v>
      </c>
      <c r="HM87" t="s">
        <v>161</v>
      </c>
      <c r="HN87" t="s">
        <v>3</v>
      </c>
      <c r="HO87" t="s">
        <v>3</v>
      </c>
      <c r="HP87" t="s">
        <v>3</v>
      </c>
      <c r="HQ87" t="s">
        <v>3</v>
      </c>
      <c r="HS87">
        <v>0</v>
      </c>
      <c r="IK87">
        <v>0</v>
      </c>
    </row>
    <row r="88" spans="1:245" x14ac:dyDescent="0.25">
      <c r="A88">
        <v>17</v>
      </c>
      <c r="B88">
        <v>1</v>
      </c>
      <c r="C88">
        <f>ROW(SmtRes!A29)</f>
        <v>29</v>
      </c>
      <c r="D88">
        <f>ROW(EtalonRes!A29)</f>
        <v>29</v>
      </c>
      <c r="E88" t="s">
        <v>163</v>
      </c>
      <c r="F88" t="s">
        <v>42</v>
      </c>
      <c r="G88" t="s">
        <v>43</v>
      </c>
      <c r="H88" t="s">
        <v>29</v>
      </c>
      <c r="I88">
        <v>308.95819999999998</v>
      </c>
      <c r="J88">
        <v>0</v>
      </c>
      <c r="K88">
        <v>308.95819999999998</v>
      </c>
      <c r="O88">
        <f t="shared" si="71"/>
        <v>3351652.7</v>
      </c>
      <c r="P88">
        <f t="shared" si="72"/>
        <v>0</v>
      </c>
      <c r="Q88">
        <f t="shared" si="73"/>
        <v>0</v>
      </c>
      <c r="R88">
        <f t="shared" si="74"/>
        <v>0</v>
      </c>
      <c r="S88">
        <f t="shared" si="75"/>
        <v>3351652.7</v>
      </c>
      <c r="T88">
        <f t="shared" si="76"/>
        <v>0</v>
      </c>
      <c r="U88">
        <f t="shared" si="77"/>
        <v>7396.4593079999995</v>
      </c>
      <c r="V88">
        <f t="shared" si="78"/>
        <v>0</v>
      </c>
      <c r="W88">
        <f t="shared" si="79"/>
        <v>0</v>
      </c>
      <c r="X88">
        <f t="shared" si="80"/>
        <v>2346156.89</v>
      </c>
      <c r="Y88">
        <f t="shared" si="81"/>
        <v>335165.27</v>
      </c>
      <c r="AA88">
        <v>80889732</v>
      </c>
      <c r="AB88">
        <f t="shared" si="82"/>
        <v>10848.24</v>
      </c>
      <c r="AC88">
        <f>ROUND(((ES88*171)),6)</f>
        <v>0</v>
      </c>
      <c r="AD88">
        <f>ROUND(((((ET88*171))-((EU88*171)))+AE88),6)</f>
        <v>0</v>
      </c>
      <c r="AE88">
        <f t="shared" ref="AE88:AF90" si="103">ROUND(((EU88*171)),6)</f>
        <v>0</v>
      </c>
      <c r="AF88">
        <f t="shared" si="103"/>
        <v>10848.24</v>
      </c>
      <c r="AG88">
        <f t="shared" si="83"/>
        <v>0</v>
      </c>
      <c r="AH88">
        <f t="shared" ref="AH88:AI90" si="104">((EW88*171))</f>
        <v>23.94</v>
      </c>
      <c r="AI88">
        <f t="shared" si="104"/>
        <v>0</v>
      </c>
      <c r="AJ88">
        <f t="shared" si="84"/>
        <v>0</v>
      </c>
      <c r="AK88">
        <v>63.44</v>
      </c>
      <c r="AL88">
        <v>0</v>
      </c>
      <c r="AM88">
        <v>0</v>
      </c>
      <c r="AN88">
        <v>0</v>
      </c>
      <c r="AO88">
        <v>63.44</v>
      </c>
      <c r="AP88">
        <v>0</v>
      </c>
      <c r="AQ88">
        <v>0.14000000000000001</v>
      </c>
      <c r="AR88">
        <v>0</v>
      </c>
      <c r="AS88">
        <v>0</v>
      </c>
      <c r="AT88">
        <v>70</v>
      </c>
      <c r="AU88">
        <v>10</v>
      </c>
      <c r="AV88">
        <v>1</v>
      </c>
      <c r="AW88">
        <v>1</v>
      </c>
      <c r="AZ88">
        <v>1</v>
      </c>
      <c r="BA88">
        <v>1</v>
      </c>
      <c r="BB88">
        <v>1</v>
      </c>
      <c r="BC88">
        <v>1</v>
      </c>
      <c r="BD88" t="s">
        <v>3</v>
      </c>
      <c r="BE88" t="s">
        <v>3</v>
      </c>
      <c r="BF88" t="s">
        <v>3</v>
      </c>
      <c r="BG88" t="s">
        <v>3</v>
      </c>
      <c r="BH88">
        <v>0</v>
      </c>
      <c r="BI88">
        <v>4</v>
      </c>
      <c r="BJ88" t="s">
        <v>44</v>
      </c>
      <c r="BM88">
        <v>0</v>
      </c>
      <c r="BN88">
        <v>0</v>
      </c>
      <c r="BO88" t="s">
        <v>3</v>
      </c>
      <c r="BP88">
        <v>0</v>
      </c>
      <c r="BQ88">
        <v>1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70</v>
      </c>
      <c r="CA88">
        <v>10</v>
      </c>
      <c r="CB88" t="s">
        <v>3</v>
      </c>
      <c r="CE88">
        <v>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85"/>
        <v>3351652.7</v>
      </c>
      <c r="CQ88">
        <f t="shared" si="86"/>
        <v>0</v>
      </c>
      <c r="CR88">
        <f>(((((ET88*171))*BB88-((EU88*171))*BS88)+AE88*BS88)*AV88)</f>
        <v>0</v>
      </c>
      <c r="CS88">
        <f t="shared" si="87"/>
        <v>0</v>
      </c>
      <c r="CT88">
        <f t="shared" si="88"/>
        <v>10848.24</v>
      </c>
      <c r="CU88">
        <f t="shared" si="89"/>
        <v>0</v>
      </c>
      <c r="CV88">
        <f t="shared" si="90"/>
        <v>23.94</v>
      </c>
      <c r="CW88">
        <f t="shared" si="91"/>
        <v>0</v>
      </c>
      <c r="CX88">
        <f t="shared" si="92"/>
        <v>0</v>
      </c>
      <c r="CY88">
        <f t="shared" si="93"/>
        <v>2346156.89</v>
      </c>
      <c r="CZ88">
        <f t="shared" si="94"/>
        <v>335165.27</v>
      </c>
      <c r="DC88" t="s">
        <v>3</v>
      </c>
      <c r="DD88" t="s">
        <v>161</v>
      </c>
      <c r="DE88" t="s">
        <v>161</v>
      </c>
      <c r="DF88" t="s">
        <v>161</v>
      </c>
      <c r="DG88" t="s">
        <v>161</v>
      </c>
      <c r="DH88" t="s">
        <v>3</v>
      </c>
      <c r="DI88" t="s">
        <v>161</v>
      </c>
      <c r="DJ88" t="s">
        <v>161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1005</v>
      </c>
      <c r="DV88" t="s">
        <v>29</v>
      </c>
      <c r="DW88" t="s">
        <v>29</v>
      </c>
      <c r="DX88">
        <v>100</v>
      </c>
      <c r="DZ88" t="s">
        <v>3</v>
      </c>
      <c r="EA88" t="s">
        <v>3</v>
      </c>
      <c r="EB88" t="s">
        <v>3</v>
      </c>
      <c r="EC88" t="s">
        <v>3</v>
      </c>
      <c r="EE88">
        <v>80196140</v>
      </c>
      <c r="EF88">
        <v>1</v>
      </c>
      <c r="EG88" t="s">
        <v>23</v>
      </c>
      <c r="EH88">
        <v>0</v>
      </c>
      <c r="EI88" t="s">
        <v>3</v>
      </c>
      <c r="EJ88">
        <v>4</v>
      </c>
      <c r="EK88">
        <v>0</v>
      </c>
      <c r="EL88" t="s">
        <v>24</v>
      </c>
      <c r="EM88" t="s">
        <v>25</v>
      </c>
      <c r="EO88" t="s">
        <v>3</v>
      </c>
      <c r="EQ88">
        <v>0</v>
      </c>
      <c r="ER88">
        <v>63.44</v>
      </c>
      <c r="ES88">
        <v>0</v>
      </c>
      <c r="ET88">
        <v>0</v>
      </c>
      <c r="EU88">
        <v>0</v>
      </c>
      <c r="EV88">
        <v>63.44</v>
      </c>
      <c r="EW88">
        <v>0.14000000000000001</v>
      </c>
      <c r="EX88">
        <v>0</v>
      </c>
      <c r="EY88">
        <v>0</v>
      </c>
      <c r="FQ88">
        <v>0</v>
      </c>
      <c r="FR88">
        <v>0</v>
      </c>
      <c r="FS88">
        <v>0</v>
      </c>
      <c r="FX88">
        <v>70</v>
      </c>
      <c r="FY88">
        <v>10</v>
      </c>
      <c r="GA88" t="s">
        <v>3</v>
      </c>
      <c r="GD88">
        <v>0</v>
      </c>
      <c r="GF88">
        <v>-502436687</v>
      </c>
      <c r="GG88">
        <v>2</v>
      </c>
      <c r="GH88">
        <v>1</v>
      </c>
      <c r="GI88">
        <v>-2</v>
      </c>
      <c r="GJ88">
        <v>0</v>
      </c>
      <c r="GK88">
        <f>ROUND(R88*(R12)/100,2)</f>
        <v>0</v>
      </c>
      <c r="GL88">
        <f t="shared" si="95"/>
        <v>0</v>
      </c>
      <c r="GM88">
        <f t="shared" si="96"/>
        <v>6032974.8600000003</v>
      </c>
      <c r="GN88">
        <f t="shared" si="97"/>
        <v>0</v>
      </c>
      <c r="GO88">
        <f t="shared" si="98"/>
        <v>0</v>
      </c>
      <c r="GP88">
        <f t="shared" si="99"/>
        <v>6032974.8600000003</v>
      </c>
      <c r="GR88">
        <v>0</v>
      </c>
      <c r="GS88">
        <v>3</v>
      </c>
      <c r="GT88">
        <v>0</v>
      </c>
      <c r="GU88" t="s">
        <v>3</v>
      </c>
      <c r="GV88">
        <f t="shared" si="100"/>
        <v>0</v>
      </c>
      <c r="GW88">
        <v>1</v>
      </c>
      <c r="GX88">
        <f t="shared" si="101"/>
        <v>0</v>
      </c>
      <c r="HA88">
        <v>0</v>
      </c>
      <c r="HB88">
        <v>0</v>
      </c>
      <c r="HC88">
        <f t="shared" si="102"/>
        <v>0</v>
      </c>
      <c r="HE88" t="s">
        <v>3</v>
      </c>
      <c r="HF88" t="s">
        <v>3</v>
      </c>
      <c r="HM88" t="s">
        <v>3</v>
      </c>
      <c r="HN88" t="s">
        <v>3</v>
      </c>
      <c r="HO88" t="s">
        <v>3</v>
      </c>
      <c r="HP88" t="s">
        <v>3</v>
      </c>
      <c r="HQ88" t="s">
        <v>3</v>
      </c>
      <c r="HS88">
        <v>0</v>
      </c>
      <c r="IK88">
        <v>0</v>
      </c>
    </row>
    <row r="89" spans="1:245" x14ac:dyDescent="0.25">
      <c r="A89">
        <v>17</v>
      </c>
      <c r="B89">
        <v>1</v>
      </c>
      <c r="C89">
        <f>ROW(SmtRes!A30)</f>
        <v>30</v>
      </c>
      <c r="D89">
        <f>ROW(EtalonRes!A30)</f>
        <v>30</v>
      </c>
      <c r="E89" t="s">
        <v>3</v>
      </c>
      <c r="F89" t="s">
        <v>47</v>
      </c>
      <c r="G89" t="s">
        <v>48</v>
      </c>
      <c r="H89" t="s">
        <v>29</v>
      </c>
      <c r="I89">
        <v>60.811999999999998</v>
      </c>
      <c r="J89">
        <v>0</v>
      </c>
      <c r="K89">
        <v>60.811999999999998</v>
      </c>
      <c r="O89">
        <f t="shared" si="71"/>
        <v>1130875.1599999999</v>
      </c>
      <c r="P89">
        <f t="shared" si="72"/>
        <v>0</v>
      </c>
      <c r="Q89">
        <f t="shared" si="73"/>
        <v>0</v>
      </c>
      <c r="R89">
        <f t="shared" si="74"/>
        <v>0</v>
      </c>
      <c r="S89">
        <f t="shared" si="75"/>
        <v>1130875.1599999999</v>
      </c>
      <c r="T89">
        <f t="shared" si="76"/>
        <v>0</v>
      </c>
      <c r="U89">
        <f t="shared" si="77"/>
        <v>2495.7244799999999</v>
      </c>
      <c r="V89">
        <f t="shared" si="78"/>
        <v>0</v>
      </c>
      <c r="W89">
        <f t="shared" si="79"/>
        <v>0</v>
      </c>
      <c r="X89">
        <f t="shared" si="80"/>
        <v>791612.61</v>
      </c>
      <c r="Y89">
        <f t="shared" si="81"/>
        <v>113087.52</v>
      </c>
      <c r="AA89">
        <v>-1</v>
      </c>
      <c r="AB89">
        <f t="shared" si="82"/>
        <v>18596.25</v>
      </c>
      <c r="AC89">
        <f>ROUND(((ES89*171)),6)</f>
        <v>0</v>
      </c>
      <c r="AD89">
        <f>ROUND(((((ET89*171))-((EU89*171)))+AE89),6)</f>
        <v>0</v>
      </c>
      <c r="AE89">
        <f t="shared" si="103"/>
        <v>0</v>
      </c>
      <c r="AF89">
        <f t="shared" si="103"/>
        <v>18596.25</v>
      </c>
      <c r="AG89">
        <f t="shared" si="83"/>
        <v>0</v>
      </c>
      <c r="AH89">
        <f t="shared" si="104"/>
        <v>41.04</v>
      </c>
      <c r="AI89">
        <f t="shared" si="104"/>
        <v>0</v>
      </c>
      <c r="AJ89">
        <f t="shared" si="84"/>
        <v>0</v>
      </c>
      <c r="AK89">
        <v>108.75</v>
      </c>
      <c r="AL89">
        <v>0</v>
      </c>
      <c r="AM89">
        <v>0</v>
      </c>
      <c r="AN89">
        <v>0</v>
      </c>
      <c r="AO89">
        <v>108.75</v>
      </c>
      <c r="AP89">
        <v>0</v>
      </c>
      <c r="AQ89">
        <v>0.24</v>
      </c>
      <c r="AR89">
        <v>0</v>
      </c>
      <c r="AS89">
        <v>0</v>
      </c>
      <c r="AT89">
        <v>70</v>
      </c>
      <c r="AU89">
        <v>10</v>
      </c>
      <c r="AV89">
        <v>1</v>
      </c>
      <c r="AW89">
        <v>1</v>
      </c>
      <c r="AZ89">
        <v>1</v>
      </c>
      <c r="BA89">
        <v>1</v>
      </c>
      <c r="BB89">
        <v>1</v>
      </c>
      <c r="BC89">
        <v>1</v>
      </c>
      <c r="BD89" t="s">
        <v>3</v>
      </c>
      <c r="BE89" t="s">
        <v>3</v>
      </c>
      <c r="BF89" t="s">
        <v>3</v>
      </c>
      <c r="BG89" t="s">
        <v>3</v>
      </c>
      <c r="BH89">
        <v>0</v>
      </c>
      <c r="BI89">
        <v>4</v>
      </c>
      <c r="BJ89" t="s">
        <v>49</v>
      </c>
      <c r="BM89">
        <v>0</v>
      </c>
      <c r="BN89">
        <v>0</v>
      </c>
      <c r="BO89" t="s">
        <v>3</v>
      </c>
      <c r="BP89">
        <v>0</v>
      </c>
      <c r="BQ89">
        <v>1</v>
      </c>
      <c r="BR89">
        <v>0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70</v>
      </c>
      <c r="CA89">
        <v>10</v>
      </c>
      <c r="CB89" t="s">
        <v>3</v>
      </c>
      <c r="CE89">
        <v>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85"/>
        <v>1130875.1599999999</v>
      </c>
      <c r="CQ89">
        <f t="shared" si="86"/>
        <v>0</v>
      </c>
      <c r="CR89">
        <f>(((((ET89*171))*BB89-((EU89*171))*BS89)+AE89*BS89)*AV89)</f>
        <v>0</v>
      </c>
      <c r="CS89">
        <f t="shared" si="87"/>
        <v>0</v>
      </c>
      <c r="CT89">
        <f t="shared" si="88"/>
        <v>18596.25</v>
      </c>
      <c r="CU89">
        <f t="shared" si="89"/>
        <v>0</v>
      </c>
      <c r="CV89">
        <f t="shared" si="90"/>
        <v>41.04</v>
      </c>
      <c r="CW89">
        <f t="shared" si="91"/>
        <v>0</v>
      </c>
      <c r="CX89">
        <f t="shared" si="92"/>
        <v>0</v>
      </c>
      <c r="CY89">
        <f t="shared" si="93"/>
        <v>791612.61199999985</v>
      </c>
      <c r="CZ89">
        <f t="shared" si="94"/>
        <v>113087.516</v>
      </c>
      <c r="DC89" t="s">
        <v>3</v>
      </c>
      <c r="DD89" t="s">
        <v>161</v>
      </c>
      <c r="DE89" t="s">
        <v>161</v>
      </c>
      <c r="DF89" t="s">
        <v>161</v>
      </c>
      <c r="DG89" t="s">
        <v>161</v>
      </c>
      <c r="DH89" t="s">
        <v>3</v>
      </c>
      <c r="DI89" t="s">
        <v>161</v>
      </c>
      <c r="DJ89" t="s">
        <v>161</v>
      </c>
      <c r="DK89" t="s">
        <v>3</v>
      </c>
      <c r="DL89" t="s">
        <v>3</v>
      </c>
      <c r="DM89" t="s">
        <v>3</v>
      </c>
      <c r="DN89">
        <v>0</v>
      </c>
      <c r="DO89">
        <v>0</v>
      </c>
      <c r="DP89">
        <v>1</v>
      </c>
      <c r="DQ89">
        <v>1</v>
      </c>
      <c r="DU89">
        <v>1005</v>
      </c>
      <c r="DV89" t="s">
        <v>29</v>
      </c>
      <c r="DW89" t="s">
        <v>29</v>
      </c>
      <c r="DX89">
        <v>100</v>
      </c>
      <c r="DZ89" t="s">
        <v>3</v>
      </c>
      <c r="EA89" t="s">
        <v>3</v>
      </c>
      <c r="EB89" t="s">
        <v>3</v>
      </c>
      <c r="EC89" t="s">
        <v>3</v>
      </c>
      <c r="EE89">
        <v>80196140</v>
      </c>
      <c r="EF89">
        <v>1</v>
      </c>
      <c r="EG89" t="s">
        <v>23</v>
      </c>
      <c r="EH89">
        <v>0</v>
      </c>
      <c r="EI89" t="s">
        <v>3</v>
      </c>
      <c r="EJ89">
        <v>4</v>
      </c>
      <c r="EK89">
        <v>0</v>
      </c>
      <c r="EL89" t="s">
        <v>24</v>
      </c>
      <c r="EM89" t="s">
        <v>25</v>
      </c>
      <c r="EO89" t="s">
        <v>3</v>
      </c>
      <c r="EQ89">
        <v>1024</v>
      </c>
      <c r="ER89">
        <v>108.75</v>
      </c>
      <c r="ES89">
        <v>0</v>
      </c>
      <c r="ET89">
        <v>0</v>
      </c>
      <c r="EU89">
        <v>0</v>
      </c>
      <c r="EV89">
        <v>108.75</v>
      </c>
      <c r="EW89">
        <v>0.24</v>
      </c>
      <c r="EX89">
        <v>0</v>
      </c>
      <c r="EY89">
        <v>0</v>
      </c>
      <c r="FQ89">
        <v>0</v>
      </c>
      <c r="FR89">
        <v>0</v>
      </c>
      <c r="FS89">
        <v>0</v>
      </c>
      <c r="FX89">
        <v>70</v>
      </c>
      <c r="FY89">
        <v>10</v>
      </c>
      <c r="GA89" t="s">
        <v>3</v>
      </c>
      <c r="GD89">
        <v>0</v>
      </c>
      <c r="GF89">
        <v>-2145585580</v>
      </c>
      <c r="GG89">
        <v>2</v>
      </c>
      <c r="GH89">
        <v>1</v>
      </c>
      <c r="GI89">
        <v>-2</v>
      </c>
      <c r="GJ89">
        <v>0</v>
      </c>
      <c r="GK89">
        <f>ROUND(R89*(R12)/100,2)</f>
        <v>0</v>
      </c>
      <c r="GL89">
        <f t="shared" si="95"/>
        <v>0</v>
      </c>
      <c r="GM89">
        <f t="shared" si="96"/>
        <v>2035575.29</v>
      </c>
      <c r="GN89">
        <f t="shared" si="97"/>
        <v>0</v>
      </c>
      <c r="GO89">
        <f t="shared" si="98"/>
        <v>0</v>
      </c>
      <c r="GP89">
        <f t="shared" si="99"/>
        <v>2035575.29</v>
      </c>
      <c r="GR89">
        <v>0</v>
      </c>
      <c r="GS89">
        <v>3</v>
      </c>
      <c r="GT89">
        <v>0</v>
      </c>
      <c r="GU89" t="s">
        <v>3</v>
      </c>
      <c r="GV89">
        <f t="shared" si="100"/>
        <v>0</v>
      </c>
      <c r="GW89">
        <v>1</v>
      </c>
      <c r="GX89">
        <f t="shared" si="101"/>
        <v>0</v>
      </c>
      <c r="HA89">
        <v>0</v>
      </c>
      <c r="HB89">
        <v>0</v>
      </c>
      <c r="HC89">
        <f t="shared" si="102"/>
        <v>0</v>
      </c>
      <c r="HE89" t="s">
        <v>3</v>
      </c>
      <c r="HF89" t="s">
        <v>3</v>
      </c>
      <c r="HM89" t="s">
        <v>3</v>
      </c>
      <c r="HN89" t="s">
        <v>3</v>
      </c>
      <c r="HO89" t="s">
        <v>3</v>
      </c>
      <c r="HP89" t="s">
        <v>3</v>
      </c>
      <c r="HQ89" t="s">
        <v>3</v>
      </c>
      <c r="HS89">
        <v>0</v>
      </c>
      <c r="IK89">
        <v>0</v>
      </c>
    </row>
    <row r="90" spans="1:245" x14ac:dyDescent="0.25">
      <c r="A90">
        <v>17</v>
      </c>
      <c r="B90">
        <v>1</v>
      </c>
      <c r="C90">
        <f>ROW(SmtRes!A32)</f>
        <v>32</v>
      </c>
      <c r="D90">
        <f>ROW(EtalonRes!A32)</f>
        <v>32</v>
      </c>
      <c r="E90" t="s">
        <v>164</v>
      </c>
      <c r="F90" t="s">
        <v>165</v>
      </c>
      <c r="G90" t="s">
        <v>166</v>
      </c>
      <c r="H90" t="s">
        <v>29</v>
      </c>
      <c r="I90">
        <v>39.76</v>
      </c>
      <c r="J90">
        <v>0</v>
      </c>
      <c r="K90">
        <v>39.76</v>
      </c>
      <c r="O90">
        <f t="shared" si="71"/>
        <v>528007.23</v>
      </c>
      <c r="P90">
        <f t="shared" si="72"/>
        <v>18697.14</v>
      </c>
      <c r="Q90">
        <f t="shared" si="73"/>
        <v>0</v>
      </c>
      <c r="R90">
        <f t="shared" si="74"/>
        <v>0</v>
      </c>
      <c r="S90">
        <f t="shared" si="75"/>
        <v>509310.09</v>
      </c>
      <c r="T90">
        <f t="shared" si="76"/>
        <v>0</v>
      </c>
      <c r="U90">
        <f t="shared" si="77"/>
        <v>1563.7607999999998</v>
      </c>
      <c r="V90">
        <f t="shared" si="78"/>
        <v>0</v>
      </c>
      <c r="W90">
        <f t="shared" si="79"/>
        <v>0</v>
      </c>
      <c r="X90">
        <f t="shared" si="80"/>
        <v>356517.06</v>
      </c>
      <c r="Y90">
        <f t="shared" si="81"/>
        <v>50931.01</v>
      </c>
      <c r="AA90">
        <v>80889732</v>
      </c>
      <c r="AB90">
        <f t="shared" si="82"/>
        <v>13279.86</v>
      </c>
      <c r="AC90">
        <f>ROUND(((ES90*171)),6)</f>
        <v>470.25</v>
      </c>
      <c r="AD90">
        <f>ROUND(((((ET90*171))-((EU90*171)))+AE90),6)</f>
        <v>0</v>
      </c>
      <c r="AE90">
        <f t="shared" si="103"/>
        <v>0</v>
      </c>
      <c r="AF90">
        <f t="shared" si="103"/>
        <v>12809.61</v>
      </c>
      <c r="AG90">
        <f t="shared" si="83"/>
        <v>0</v>
      </c>
      <c r="AH90">
        <f t="shared" si="104"/>
        <v>39.33</v>
      </c>
      <c r="AI90">
        <f t="shared" si="104"/>
        <v>0</v>
      </c>
      <c r="AJ90">
        <f t="shared" si="84"/>
        <v>0</v>
      </c>
      <c r="AK90">
        <v>77.66</v>
      </c>
      <c r="AL90">
        <v>2.75</v>
      </c>
      <c r="AM90">
        <v>0</v>
      </c>
      <c r="AN90">
        <v>0</v>
      </c>
      <c r="AO90">
        <v>74.91</v>
      </c>
      <c r="AP90">
        <v>0</v>
      </c>
      <c r="AQ90">
        <v>0.23</v>
      </c>
      <c r="AR90">
        <v>0</v>
      </c>
      <c r="AS90">
        <v>0</v>
      </c>
      <c r="AT90">
        <v>70</v>
      </c>
      <c r="AU90">
        <v>10</v>
      </c>
      <c r="AV90">
        <v>1</v>
      </c>
      <c r="AW90">
        <v>1</v>
      </c>
      <c r="AZ90">
        <v>1</v>
      </c>
      <c r="BA90">
        <v>1</v>
      </c>
      <c r="BB90">
        <v>1</v>
      </c>
      <c r="BC90">
        <v>1</v>
      </c>
      <c r="BD90" t="s">
        <v>3</v>
      </c>
      <c r="BE90" t="s">
        <v>3</v>
      </c>
      <c r="BF90" t="s">
        <v>3</v>
      </c>
      <c r="BG90" t="s">
        <v>3</v>
      </c>
      <c r="BH90">
        <v>0</v>
      </c>
      <c r="BI90">
        <v>4</v>
      </c>
      <c r="BJ90" t="s">
        <v>167</v>
      </c>
      <c r="BM90">
        <v>0</v>
      </c>
      <c r="BN90">
        <v>0</v>
      </c>
      <c r="BO90" t="s">
        <v>3</v>
      </c>
      <c r="BP90">
        <v>0</v>
      </c>
      <c r="BQ90">
        <v>1</v>
      </c>
      <c r="BR90">
        <v>0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70</v>
      </c>
      <c r="CA90">
        <v>10</v>
      </c>
      <c r="CB90" t="s">
        <v>3</v>
      </c>
      <c r="CE90">
        <v>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85"/>
        <v>528007.23</v>
      </c>
      <c r="CQ90">
        <f t="shared" si="86"/>
        <v>470.25</v>
      </c>
      <c r="CR90">
        <f>(((((ET90*171))*BB90-((EU90*171))*BS90)+AE90*BS90)*AV90)</f>
        <v>0</v>
      </c>
      <c r="CS90">
        <f t="shared" si="87"/>
        <v>0</v>
      </c>
      <c r="CT90">
        <f t="shared" si="88"/>
        <v>12809.61</v>
      </c>
      <c r="CU90">
        <f t="shared" si="89"/>
        <v>0</v>
      </c>
      <c r="CV90">
        <f t="shared" si="90"/>
        <v>39.33</v>
      </c>
      <c r="CW90">
        <f t="shared" si="91"/>
        <v>0</v>
      </c>
      <c r="CX90">
        <f t="shared" si="92"/>
        <v>0</v>
      </c>
      <c r="CY90">
        <f t="shared" si="93"/>
        <v>356517.06300000002</v>
      </c>
      <c r="CZ90">
        <f t="shared" si="94"/>
        <v>50931.009000000005</v>
      </c>
      <c r="DC90" t="s">
        <v>3</v>
      </c>
      <c r="DD90" t="s">
        <v>161</v>
      </c>
      <c r="DE90" t="s">
        <v>161</v>
      </c>
      <c r="DF90" t="s">
        <v>161</v>
      </c>
      <c r="DG90" t="s">
        <v>161</v>
      </c>
      <c r="DH90" t="s">
        <v>3</v>
      </c>
      <c r="DI90" t="s">
        <v>161</v>
      </c>
      <c r="DJ90" t="s">
        <v>161</v>
      </c>
      <c r="DK90" t="s">
        <v>3</v>
      </c>
      <c r="DL90" t="s">
        <v>3</v>
      </c>
      <c r="DM90" t="s">
        <v>3</v>
      </c>
      <c r="DN90">
        <v>0</v>
      </c>
      <c r="DO90">
        <v>0</v>
      </c>
      <c r="DP90">
        <v>1</v>
      </c>
      <c r="DQ90">
        <v>1</v>
      </c>
      <c r="DU90">
        <v>1005</v>
      </c>
      <c r="DV90" t="s">
        <v>29</v>
      </c>
      <c r="DW90" t="s">
        <v>29</v>
      </c>
      <c r="DX90">
        <v>100</v>
      </c>
      <c r="DZ90" t="s">
        <v>3</v>
      </c>
      <c r="EA90" t="s">
        <v>3</v>
      </c>
      <c r="EB90" t="s">
        <v>3</v>
      </c>
      <c r="EC90" t="s">
        <v>3</v>
      </c>
      <c r="EE90">
        <v>80196140</v>
      </c>
      <c r="EF90">
        <v>1</v>
      </c>
      <c r="EG90" t="s">
        <v>23</v>
      </c>
      <c r="EH90">
        <v>0</v>
      </c>
      <c r="EI90" t="s">
        <v>3</v>
      </c>
      <c r="EJ90">
        <v>4</v>
      </c>
      <c r="EK90">
        <v>0</v>
      </c>
      <c r="EL90" t="s">
        <v>24</v>
      </c>
      <c r="EM90" t="s">
        <v>25</v>
      </c>
      <c r="EO90" t="s">
        <v>3</v>
      </c>
      <c r="EQ90">
        <v>0</v>
      </c>
      <c r="ER90">
        <v>77.66</v>
      </c>
      <c r="ES90">
        <v>2.75</v>
      </c>
      <c r="ET90">
        <v>0</v>
      </c>
      <c r="EU90">
        <v>0</v>
      </c>
      <c r="EV90">
        <v>74.91</v>
      </c>
      <c r="EW90">
        <v>0.23</v>
      </c>
      <c r="EX90">
        <v>0</v>
      </c>
      <c r="EY90">
        <v>0</v>
      </c>
      <c r="FQ90">
        <v>0</v>
      </c>
      <c r="FR90">
        <v>0</v>
      </c>
      <c r="FS90">
        <v>0</v>
      </c>
      <c r="FX90">
        <v>70</v>
      </c>
      <c r="FY90">
        <v>10</v>
      </c>
      <c r="GA90" t="s">
        <v>3</v>
      </c>
      <c r="GD90">
        <v>0</v>
      </c>
      <c r="GF90">
        <v>-1581478685</v>
      </c>
      <c r="GG90">
        <v>2</v>
      </c>
      <c r="GH90">
        <v>1</v>
      </c>
      <c r="GI90">
        <v>-2</v>
      </c>
      <c r="GJ90">
        <v>0</v>
      </c>
      <c r="GK90">
        <f>ROUND(R90*(R12)/100,2)</f>
        <v>0</v>
      </c>
      <c r="GL90">
        <f t="shared" si="95"/>
        <v>0</v>
      </c>
      <c r="GM90">
        <f t="shared" si="96"/>
        <v>935455.3</v>
      </c>
      <c r="GN90">
        <f t="shared" si="97"/>
        <v>0</v>
      </c>
      <c r="GO90">
        <f t="shared" si="98"/>
        <v>0</v>
      </c>
      <c r="GP90">
        <f t="shared" si="99"/>
        <v>935455.3</v>
      </c>
      <c r="GR90">
        <v>0</v>
      </c>
      <c r="GS90">
        <v>3</v>
      </c>
      <c r="GT90">
        <v>0</v>
      </c>
      <c r="GU90" t="s">
        <v>3</v>
      </c>
      <c r="GV90">
        <f t="shared" si="100"/>
        <v>0</v>
      </c>
      <c r="GW90">
        <v>1</v>
      </c>
      <c r="GX90">
        <f t="shared" si="101"/>
        <v>0</v>
      </c>
      <c r="HA90">
        <v>0</v>
      </c>
      <c r="HB90">
        <v>0</v>
      </c>
      <c r="HC90">
        <f t="shared" si="102"/>
        <v>0</v>
      </c>
      <c r="HE90" t="s">
        <v>3</v>
      </c>
      <c r="HF90" t="s">
        <v>3</v>
      </c>
      <c r="HM90" t="s">
        <v>3</v>
      </c>
      <c r="HN90" t="s">
        <v>3</v>
      </c>
      <c r="HO90" t="s">
        <v>3</v>
      </c>
      <c r="HP90" t="s">
        <v>3</v>
      </c>
      <c r="HQ90" t="s">
        <v>3</v>
      </c>
      <c r="HS90">
        <v>0</v>
      </c>
      <c r="IK90">
        <v>0</v>
      </c>
    </row>
    <row r="91" spans="1:245" x14ac:dyDescent="0.25">
      <c r="A91">
        <v>17</v>
      </c>
      <c r="B91">
        <v>1</v>
      </c>
      <c r="C91">
        <f>ROW(SmtRes!A34)</f>
        <v>34</v>
      </c>
      <c r="D91">
        <f>ROW(EtalonRes!A34)</f>
        <v>34</v>
      </c>
      <c r="E91" t="s">
        <v>168</v>
      </c>
      <c r="F91" t="s">
        <v>169</v>
      </c>
      <c r="G91" t="s">
        <v>170</v>
      </c>
      <c r="H91" t="s">
        <v>20</v>
      </c>
      <c r="I91">
        <v>154.47909999999999</v>
      </c>
      <c r="J91">
        <v>0</v>
      </c>
      <c r="K91">
        <v>154.47909999999999</v>
      </c>
      <c r="O91">
        <f t="shared" si="71"/>
        <v>2254628.64</v>
      </c>
      <c r="P91">
        <f t="shared" si="72"/>
        <v>56295.27</v>
      </c>
      <c r="Q91">
        <f t="shared" si="73"/>
        <v>2198333.37</v>
      </c>
      <c r="R91">
        <f t="shared" si="74"/>
        <v>1039055.78</v>
      </c>
      <c r="S91">
        <f t="shared" si="75"/>
        <v>0</v>
      </c>
      <c r="T91">
        <f t="shared" si="76"/>
        <v>0</v>
      </c>
      <c r="U91">
        <f t="shared" si="77"/>
        <v>0</v>
      </c>
      <c r="V91">
        <f t="shared" si="78"/>
        <v>0</v>
      </c>
      <c r="W91">
        <f t="shared" si="79"/>
        <v>0</v>
      </c>
      <c r="X91">
        <f t="shared" si="80"/>
        <v>0</v>
      </c>
      <c r="Y91">
        <f t="shared" si="81"/>
        <v>0</v>
      </c>
      <c r="AA91">
        <v>80889732</v>
      </c>
      <c r="AB91">
        <f t="shared" si="82"/>
        <v>14595.04</v>
      </c>
      <c r="AC91">
        <f>ROUND(((ES91*19)),6)</f>
        <v>364.42</v>
      </c>
      <c r="AD91">
        <f>ROUND(((((ET91*19))-((EU91*19)))+AE91),6)</f>
        <v>14230.62</v>
      </c>
      <c r="AE91">
        <f>ROUND(((EU91*19)),6)</f>
        <v>6726.19</v>
      </c>
      <c r="AF91">
        <f>ROUND(((EV91*19)),6)</f>
        <v>0</v>
      </c>
      <c r="AG91">
        <f t="shared" si="83"/>
        <v>0</v>
      </c>
      <c r="AH91">
        <f>((EW91*19))</f>
        <v>0</v>
      </c>
      <c r="AI91">
        <f>((EX91*19))</f>
        <v>0</v>
      </c>
      <c r="AJ91">
        <f t="shared" si="84"/>
        <v>0</v>
      </c>
      <c r="AK91">
        <v>768.16</v>
      </c>
      <c r="AL91">
        <v>19.18</v>
      </c>
      <c r="AM91">
        <v>748.98</v>
      </c>
      <c r="AN91">
        <v>354.01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70</v>
      </c>
      <c r="AU91">
        <v>10</v>
      </c>
      <c r="AV91">
        <v>1</v>
      </c>
      <c r="AW91">
        <v>1</v>
      </c>
      <c r="AZ91">
        <v>1</v>
      </c>
      <c r="BA91">
        <v>1</v>
      </c>
      <c r="BB91">
        <v>1</v>
      </c>
      <c r="BC91">
        <v>1</v>
      </c>
      <c r="BD91" t="s">
        <v>3</v>
      </c>
      <c r="BE91" t="s">
        <v>3</v>
      </c>
      <c r="BF91" t="s">
        <v>3</v>
      </c>
      <c r="BG91" t="s">
        <v>3</v>
      </c>
      <c r="BH91">
        <v>0</v>
      </c>
      <c r="BI91">
        <v>4</v>
      </c>
      <c r="BJ91" t="s">
        <v>171</v>
      </c>
      <c r="BM91">
        <v>0</v>
      </c>
      <c r="BN91">
        <v>0</v>
      </c>
      <c r="BO91" t="s">
        <v>3</v>
      </c>
      <c r="BP91">
        <v>0</v>
      </c>
      <c r="BQ91">
        <v>1</v>
      </c>
      <c r="BR91">
        <v>0</v>
      </c>
      <c r="BS91">
        <v>1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3</v>
      </c>
      <c r="BZ91">
        <v>70</v>
      </c>
      <c r="CA91">
        <v>10</v>
      </c>
      <c r="CB91" t="s">
        <v>3</v>
      </c>
      <c r="CE91">
        <v>0</v>
      </c>
      <c r="CF91">
        <v>0</v>
      </c>
      <c r="CG91">
        <v>0</v>
      </c>
      <c r="CM91">
        <v>0</v>
      </c>
      <c r="CN91" t="s">
        <v>3</v>
      </c>
      <c r="CO91">
        <v>0</v>
      </c>
      <c r="CP91">
        <f t="shared" si="85"/>
        <v>2254628.64</v>
      </c>
      <c r="CQ91">
        <f t="shared" si="86"/>
        <v>364.42</v>
      </c>
      <c r="CR91">
        <f>(((((ET91*19))*BB91-((EU91*19))*BS91)+AE91*BS91)*AV91)</f>
        <v>14230.62</v>
      </c>
      <c r="CS91">
        <f t="shared" si="87"/>
        <v>6726.19</v>
      </c>
      <c r="CT91">
        <f t="shared" si="88"/>
        <v>0</v>
      </c>
      <c r="CU91">
        <f t="shared" si="89"/>
        <v>0</v>
      </c>
      <c r="CV91">
        <f t="shared" si="90"/>
        <v>0</v>
      </c>
      <c r="CW91">
        <f t="shared" si="91"/>
        <v>0</v>
      </c>
      <c r="CX91">
        <f t="shared" si="92"/>
        <v>0</v>
      </c>
      <c r="CY91">
        <f t="shared" si="93"/>
        <v>0</v>
      </c>
      <c r="CZ91">
        <f t="shared" si="94"/>
        <v>0</v>
      </c>
      <c r="DC91" t="s">
        <v>3</v>
      </c>
      <c r="DD91" t="s">
        <v>172</v>
      </c>
      <c r="DE91" t="s">
        <v>172</v>
      </c>
      <c r="DF91" t="s">
        <v>172</v>
      </c>
      <c r="DG91" t="s">
        <v>172</v>
      </c>
      <c r="DH91" t="s">
        <v>3</v>
      </c>
      <c r="DI91" t="s">
        <v>172</v>
      </c>
      <c r="DJ91" t="s">
        <v>172</v>
      </c>
      <c r="DK91" t="s">
        <v>3</v>
      </c>
      <c r="DL91" t="s">
        <v>3</v>
      </c>
      <c r="DM91" t="s">
        <v>3</v>
      </c>
      <c r="DN91">
        <v>0</v>
      </c>
      <c r="DO91">
        <v>0</v>
      </c>
      <c r="DP91">
        <v>1</v>
      </c>
      <c r="DQ91">
        <v>1</v>
      </c>
      <c r="DU91">
        <v>1005</v>
      </c>
      <c r="DV91" t="s">
        <v>20</v>
      </c>
      <c r="DW91" t="s">
        <v>20</v>
      </c>
      <c r="DX91">
        <v>1000</v>
      </c>
      <c r="DZ91" t="s">
        <v>3</v>
      </c>
      <c r="EA91" t="s">
        <v>3</v>
      </c>
      <c r="EB91" t="s">
        <v>3</v>
      </c>
      <c r="EC91" t="s">
        <v>3</v>
      </c>
      <c r="EE91">
        <v>80196140</v>
      </c>
      <c r="EF91">
        <v>1</v>
      </c>
      <c r="EG91" t="s">
        <v>23</v>
      </c>
      <c r="EH91">
        <v>0</v>
      </c>
      <c r="EI91" t="s">
        <v>3</v>
      </c>
      <c r="EJ91">
        <v>4</v>
      </c>
      <c r="EK91">
        <v>0</v>
      </c>
      <c r="EL91" t="s">
        <v>24</v>
      </c>
      <c r="EM91" t="s">
        <v>25</v>
      </c>
      <c r="EO91" t="s">
        <v>3</v>
      </c>
      <c r="EQ91">
        <v>0</v>
      </c>
      <c r="ER91">
        <v>768.16</v>
      </c>
      <c r="ES91">
        <v>19.18</v>
      </c>
      <c r="ET91">
        <v>748.98</v>
      </c>
      <c r="EU91">
        <v>354.01</v>
      </c>
      <c r="EV91">
        <v>0</v>
      </c>
      <c r="EW91">
        <v>0</v>
      </c>
      <c r="EX91">
        <v>0</v>
      </c>
      <c r="EY91">
        <v>0</v>
      </c>
      <c r="FQ91">
        <v>0</v>
      </c>
      <c r="FR91">
        <v>0</v>
      </c>
      <c r="FS91">
        <v>0</v>
      </c>
      <c r="FX91">
        <v>70</v>
      </c>
      <c r="FY91">
        <v>10</v>
      </c>
      <c r="GA91" t="s">
        <v>3</v>
      </c>
      <c r="GD91">
        <v>0</v>
      </c>
      <c r="GF91">
        <v>-1951941252</v>
      </c>
      <c r="GG91">
        <v>2</v>
      </c>
      <c r="GH91">
        <v>1</v>
      </c>
      <c r="GI91">
        <v>-2</v>
      </c>
      <c r="GJ91">
        <v>0</v>
      </c>
      <c r="GK91">
        <f>ROUND(R91*(R12)/100,2)</f>
        <v>1122180.24</v>
      </c>
      <c r="GL91">
        <f t="shared" si="95"/>
        <v>0</v>
      </c>
      <c r="GM91">
        <f t="shared" si="96"/>
        <v>3376808.88</v>
      </c>
      <c r="GN91">
        <f t="shared" si="97"/>
        <v>0</v>
      </c>
      <c r="GO91">
        <f t="shared" si="98"/>
        <v>0</v>
      </c>
      <c r="GP91">
        <f t="shared" si="99"/>
        <v>3376808.88</v>
      </c>
      <c r="GR91">
        <v>0</v>
      </c>
      <c r="GS91">
        <v>3</v>
      </c>
      <c r="GT91">
        <v>0</v>
      </c>
      <c r="GU91" t="s">
        <v>3</v>
      </c>
      <c r="GV91">
        <f t="shared" si="100"/>
        <v>0</v>
      </c>
      <c r="GW91">
        <v>1</v>
      </c>
      <c r="GX91">
        <f t="shared" si="101"/>
        <v>0</v>
      </c>
      <c r="HA91">
        <v>0</v>
      </c>
      <c r="HB91">
        <v>0</v>
      </c>
      <c r="HC91">
        <f t="shared" si="102"/>
        <v>0</v>
      </c>
      <c r="HE91" t="s">
        <v>3</v>
      </c>
      <c r="HF91" t="s">
        <v>3</v>
      </c>
      <c r="HM91" t="s">
        <v>3</v>
      </c>
      <c r="HN91" t="s">
        <v>3</v>
      </c>
      <c r="HO91" t="s">
        <v>3</v>
      </c>
      <c r="HP91" t="s">
        <v>3</v>
      </c>
      <c r="HQ91" t="s">
        <v>3</v>
      </c>
      <c r="HS91">
        <v>0</v>
      </c>
      <c r="IK91">
        <v>0</v>
      </c>
    </row>
    <row r="92" spans="1:245" x14ac:dyDescent="0.25">
      <c r="A92">
        <v>18</v>
      </c>
      <c r="B92">
        <v>1</v>
      </c>
      <c r="C92">
        <v>34</v>
      </c>
      <c r="E92" t="s">
        <v>173</v>
      </c>
      <c r="F92" t="s">
        <v>37</v>
      </c>
      <c r="G92" t="s">
        <v>38</v>
      </c>
      <c r="H92" t="s">
        <v>39</v>
      </c>
      <c r="I92">
        <f>I91*J92</f>
        <v>-1027.2860149999999</v>
      </c>
      <c r="J92">
        <v>-6.6499999999999995</v>
      </c>
      <c r="K92">
        <v>-0.35</v>
      </c>
      <c r="O92">
        <f t="shared" si="71"/>
        <v>-56305.55</v>
      </c>
      <c r="P92">
        <f t="shared" si="72"/>
        <v>-56305.55</v>
      </c>
      <c r="Q92">
        <f t="shared" si="73"/>
        <v>0</v>
      </c>
      <c r="R92">
        <f t="shared" si="74"/>
        <v>0</v>
      </c>
      <c r="S92">
        <f t="shared" si="75"/>
        <v>0</v>
      </c>
      <c r="T92">
        <f t="shared" si="76"/>
        <v>0</v>
      </c>
      <c r="U92">
        <f t="shared" si="77"/>
        <v>0</v>
      </c>
      <c r="V92">
        <f t="shared" si="78"/>
        <v>0</v>
      </c>
      <c r="W92">
        <f t="shared" si="79"/>
        <v>0</v>
      </c>
      <c r="X92">
        <f t="shared" si="80"/>
        <v>0</v>
      </c>
      <c r="Y92">
        <f t="shared" si="81"/>
        <v>0</v>
      </c>
      <c r="AA92">
        <v>80889732</v>
      </c>
      <c r="AB92">
        <f t="shared" si="82"/>
        <v>54.81</v>
      </c>
      <c r="AC92">
        <f>ROUND((ES92),6)</f>
        <v>54.81</v>
      </c>
      <c r="AD92">
        <f>ROUND((((ET92)-(EU92))+AE92),6)</f>
        <v>0</v>
      </c>
      <c r="AE92">
        <f t="shared" ref="AE92:AF94" si="105">ROUND((EU92),6)</f>
        <v>0</v>
      </c>
      <c r="AF92">
        <f t="shared" si="105"/>
        <v>0</v>
      </c>
      <c r="AG92">
        <f t="shared" si="83"/>
        <v>0</v>
      </c>
      <c r="AH92">
        <f t="shared" ref="AH92:AI94" si="106">(EW92)</f>
        <v>0</v>
      </c>
      <c r="AI92">
        <f t="shared" si="106"/>
        <v>0</v>
      </c>
      <c r="AJ92">
        <f t="shared" si="84"/>
        <v>0</v>
      </c>
      <c r="AK92">
        <v>54.81</v>
      </c>
      <c r="AL92">
        <v>54.81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70</v>
      </c>
      <c r="AU92">
        <v>10</v>
      </c>
      <c r="AV92">
        <v>1</v>
      </c>
      <c r="AW92">
        <v>1</v>
      </c>
      <c r="AZ92">
        <v>1</v>
      </c>
      <c r="BA92">
        <v>1</v>
      </c>
      <c r="BB92">
        <v>1</v>
      </c>
      <c r="BC92">
        <v>1</v>
      </c>
      <c r="BD92" t="s">
        <v>3</v>
      </c>
      <c r="BE92" t="s">
        <v>3</v>
      </c>
      <c r="BF92" t="s">
        <v>3</v>
      </c>
      <c r="BG92" t="s">
        <v>3</v>
      </c>
      <c r="BH92">
        <v>3</v>
      </c>
      <c r="BI92">
        <v>4</v>
      </c>
      <c r="BJ92" t="s">
        <v>40</v>
      </c>
      <c r="BM92">
        <v>0</v>
      </c>
      <c r="BN92">
        <v>0</v>
      </c>
      <c r="BO92" t="s">
        <v>3</v>
      </c>
      <c r="BP92">
        <v>0</v>
      </c>
      <c r="BQ92">
        <v>1</v>
      </c>
      <c r="BR92">
        <v>1</v>
      </c>
      <c r="BS92">
        <v>1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3</v>
      </c>
      <c r="BZ92">
        <v>70</v>
      </c>
      <c r="CA92">
        <v>10</v>
      </c>
      <c r="CB92" t="s">
        <v>3</v>
      </c>
      <c r="CE92">
        <v>0</v>
      </c>
      <c r="CF92">
        <v>0</v>
      </c>
      <c r="CG92">
        <v>0</v>
      </c>
      <c r="CM92">
        <v>0</v>
      </c>
      <c r="CN92" t="s">
        <v>3</v>
      </c>
      <c r="CO92">
        <v>0</v>
      </c>
      <c r="CP92">
        <f t="shared" si="85"/>
        <v>-56305.55</v>
      </c>
      <c r="CQ92">
        <f t="shared" si="86"/>
        <v>54.81</v>
      </c>
      <c r="CR92">
        <f>((((ET92)*BB92-(EU92)*BS92)+AE92*BS92)*AV92)</f>
        <v>0</v>
      </c>
      <c r="CS92">
        <f t="shared" si="87"/>
        <v>0</v>
      </c>
      <c r="CT92">
        <f t="shared" si="88"/>
        <v>0</v>
      </c>
      <c r="CU92">
        <f t="shared" si="89"/>
        <v>0</v>
      </c>
      <c r="CV92">
        <f t="shared" si="90"/>
        <v>0</v>
      </c>
      <c r="CW92">
        <f t="shared" si="91"/>
        <v>0</v>
      </c>
      <c r="CX92">
        <f t="shared" si="92"/>
        <v>0</v>
      </c>
      <c r="CY92">
        <f t="shared" si="93"/>
        <v>0</v>
      </c>
      <c r="CZ92">
        <f t="shared" si="94"/>
        <v>0</v>
      </c>
      <c r="DC92" t="s">
        <v>3</v>
      </c>
      <c r="DD92" t="s">
        <v>3</v>
      </c>
      <c r="DE92" t="s">
        <v>3</v>
      </c>
      <c r="DF92" t="s">
        <v>3</v>
      </c>
      <c r="DG92" t="s">
        <v>3</v>
      </c>
      <c r="DH92" t="s">
        <v>3</v>
      </c>
      <c r="DI92" t="s">
        <v>3</v>
      </c>
      <c r="DJ92" t="s">
        <v>3</v>
      </c>
      <c r="DK92" t="s">
        <v>3</v>
      </c>
      <c r="DL92" t="s">
        <v>3</v>
      </c>
      <c r="DM92" t="s">
        <v>3</v>
      </c>
      <c r="DN92">
        <v>0</v>
      </c>
      <c r="DO92">
        <v>0</v>
      </c>
      <c r="DP92">
        <v>1</v>
      </c>
      <c r="DQ92">
        <v>1</v>
      </c>
      <c r="DU92">
        <v>1007</v>
      </c>
      <c r="DV92" t="s">
        <v>39</v>
      </c>
      <c r="DW92" t="s">
        <v>39</v>
      </c>
      <c r="DX92">
        <v>1</v>
      </c>
      <c r="DZ92" t="s">
        <v>3</v>
      </c>
      <c r="EA92" t="s">
        <v>3</v>
      </c>
      <c r="EB92" t="s">
        <v>3</v>
      </c>
      <c r="EC92" t="s">
        <v>3</v>
      </c>
      <c r="EE92">
        <v>80196140</v>
      </c>
      <c r="EF92">
        <v>1</v>
      </c>
      <c r="EG92" t="s">
        <v>23</v>
      </c>
      <c r="EH92">
        <v>0</v>
      </c>
      <c r="EI92" t="s">
        <v>3</v>
      </c>
      <c r="EJ92">
        <v>4</v>
      </c>
      <c r="EK92">
        <v>0</v>
      </c>
      <c r="EL92" t="s">
        <v>24</v>
      </c>
      <c r="EM92" t="s">
        <v>25</v>
      </c>
      <c r="EO92" t="s">
        <v>3</v>
      </c>
      <c r="EQ92">
        <v>0</v>
      </c>
      <c r="ER92">
        <v>54.81</v>
      </c>
      <c r="ES92">
        <v>54.81</v>
      </c>
      <c r="ET92">
        <v>0</v>
      </c>
      <c r="EU92">
        <v>0</v>
      </c>
      <c r="EV92">
        <v>0</v>
      </c>
      <c r="EW92">
        <v>0</v>
      </c>
      <c r="EX92">
        <v>0</v>
      </c>
      <c r="FQ92">
        <v>0</v>
      </c>
      <c r="FR92">
        <v>0</v>
      </c>
      <c r="FS92">
        <v>0</v>
      </c>
      <c r="FX92">
        <v>70</v>
      </c>
      <c r="FY92">
        <v>10</v>
      </c>
      <c r="GA92" t="s">
        <v>3</v>
      </c>
      <c r="GD92">
        <v>0</v>
      </c>
      <c r="GF92">
        <v>2112060389</v>
      </c>
      <c r="GG92">
        <v>2</v>
      </c>
      <c r="GH92">
        <v>1</v>
      </c>
      <c r="GI92">
        <v>-2</v>
      </c>
      <c r="GJ92">
        <v>0</v>
      </c>
      <c r="GK92">
        <f>ROUND(R92*(R12)/100,2)</f>
        <v>0</v>
      </c>
      <c r="GL92">
        <f t="shared" si="95"/>
        <v>0</v>
      </c>
      <c r="GM92">
        <f t="shared" si="96"/>
        <v>-56305.55</v>
      </c>
      <c r="GN92">
        <f t="shared" si="97"/>
        <v>0</v>
      </c>
      <c r="GO92">
        <f t="shared" si="98"/>
        <v>0</v>
      </c>
      <c r="GP92">
        <f t="shared" si="99"/>
        <v>-56305.55</v>
      </c>
      <c r="GR92">
        <v>0</v>
      </c>
      <c r="GS92">
        <v>3</v>
      </c>
      <c r="GT92">
        <v>0</v>
      </c>
      <c r="GU92" t="s">
        <v>3</v>
      </c>
      <c r="GV92">
        <f t="shared" si="100"/>
        <v>0</v>
      </c>
      <c r="GW92">
        <v>1</v>
      </c>
      <c r="GX92">
        <f t="shared" si="101"/>
        <v>0</v>
      </c>
      <c r="HA92">
        <v>0</v>
      </c>
      <c r="HB92">
        <v>0</v>
      </c>
      <c r="HC92">
        <f t="shared" si="102"/>
        <v>0</v>
      </c>
      <c r="HE92" t="s">
        <v>3</v>
      </c>
      <c r="HF92" t="s">
        <v>3</v>
      </c>
      <c r="HM92" t="s">
        <v>172</v>
      </c>
      <c r="HN92" t="s">
        <v>3</v>
      </c>
      <c r="HO92" t="s">
        <v>3</v>
      </c>
      <c r="HP92" t="s">
        <v>3</v>
      </c>
      <c r="HQ92" t="s">
        <v>3</v>
      </c>
      <c r="HS92">
        <v>0</v>
      </c>
      <c r="IK92">
        <v>0</v>
      </c>
    </row>
    <row r="93" spans="1:245" x14ac:dyDescent="0.25">
      <c r="A93">
        <v>17</v>
      </c>
      <c r="B93">
        <v>1</v>
      </c>
      <c r="C93">
        <f>ROW(SmtRes!A37)</f>
        <v>37</v>
      </c>
      <c r="D93">
        <f>ROW(EtalonRes!A37)</f>
        <v>37</v>
      </c>
      <c r="E93" t="s">
        <v>3</v>
      </c>
      <c r="F93" t="s">
        <v>174</v>
      </c>
      <c r="G93" t="s">
        <v>175</v>
      </c>
      <c r="H93" t="s">
        <v>20</v>
      </c>
      <c r="I93">
        <v>154.47909999999999</v>
      </c>
      <c r="J93">
        <v>0</v>
      </c>
      <c r="K93">
        <v>154.47909999999999</v>
      </c>
      <c r="O93">
        <f t="shared" si="71"/>
        <v>235653.23</v>
      </c>
      <c r="P93">
        <f t="shared" si="72"/>
        <v>53837.51</v>
      </c>
      <c r="Q93">
        <f t="shared" si="73"/>
        <v>181815.72</v>
      </c>
      <c r="R93">
        <f t="shared" si="74"/>
        <v>85935.18</v>
      </c>
      <c r="S93">
        <f t="shared" si="75"/>
        <v>0</v>
      </c>
      <c r="T93">
        <f t="shared" si="76"/>
        <v>0</v>
      </c>
      <c r="U93">
        <f t="shared" si="77"/>
        <v>0</v>
      </c>
      <c r="V93">
        <f t="shared" si="78"/>
        <v>0</v>
      </c>
      <c r="W93">
        <f t="shared" si="79"/>
        <v>0</v>
      </c>
      <c r="X93">
        <f t="shared" si="80"/>
        <v>0</v>
      </c>
      <c r="Y93">
        <f t="shared" si="81"/>
        <v>0</v>
      </c>
      <c r="AA93">
        <v>-1</v>
      </c>
      <c r="AB93">
        <f t="shared" si="82"/>
        <v>1525.47</v>
      </c>
      <c r="AC93">
        <f>ROUND((ES93),6)</f>
        <v>348.51</v>
      </c>
      <c r="AD93">
        <f>ROUND((((ET93)-(EU93))+AE93),6)</f>
        <v>1176.96</v>
      </c>
      <c r="AE93">
        <f t="shared" si="105"/>
        <v>556.29</v>
      </c>
      <c r="AF93">
        <f t="shared" si="105"/>
        <v>0</v>
      </c>
      <c r="AG93">
        <f t="shared" si="83"/>
        <v>0</v>
      </c>
      <c r="AH93">
        <f t="shared" si="106"/>
        <v>0</v>
      </c>
      <c r="AI93">
        <f t="shared" si="106"/>
        <v>0</v>
      </c>
      <c r="AJ93">
        <f t="shared" si="84"/>
        <v>0</v>
      </c>
      <c r="AK93">
        <v>1525.47</v>
      </c>
      <c r="AL93">
        <v>348.51</v>
      </c>
      <c r="AM93">
        <v>1176.96</v>
      </c>
      <c r="AN93">
        <v>556.29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70</v>
      </c>
      <c r="AU93">
        <v>10</v>
      </c>
      <c r="AV93">
        <v>1</v>
      </c>
      <c r="AW93">
        <v>1</v>
      </c>
      <c r="AZ93">
        <v>1</v>
      </c>
      <c r="BA93">
        <v>1</v>
      </c>
      <c r="BB93">
        <v>1</v>
      </c>
      <c r="BC93">
        <v>1</v>
      </c>
      <c r="BD93" t="s">
        <v>3</v>
      </c>
      <c r="BE93" t="s">
        <v>3</v>
      </c>
      <c r="BF93" t="s">
        <v>3</v>
      </c>
      <c r="BG93" t="s">
        <v>3</v>
      </c>
      <c r="BH93">
        <v>0</v>
      </c>
      <c r="BI93">
        <v>4</v>
      </c>
      <c r="BJ93" t="s">
        <v>176</v>
      </c>
      <c r="BM93">
        <v>0</v>
      </c>
      <c r="BN93">
        <v>0</v>
      </c>
      <c r="BO93" t="s">
        <v>3</v>
      </c>
      <c r="BP93">
        <v>0</v>
      </c>
      <c r="BQ93">
        <v>1</v>
      </c>
      <c r="BR93">
        <v>0</v>
      </c>
      <c r="BS93">
        <v>1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3</v>
      </c>
      <c r="BZ93">
        <v>70</v>
      </c>
      <c r="CA93">
        <v>10</v>
      </c>
      <c r="CB93" t="s">
        <v>3</v>
      </c>
      <c r="CE93">
        <v>0</v>
      </c>
      <c r="CF93">
        <v>0</v>
      </c>
      <c r="CG93">
        <v>0</v>
      </c>
      <c r="CM93">
        <v>0</v>
      </c>
      <c r="CN93" t="s">
        <v>3</v>
      </c>
      <c r="CO93">
        <v>0</v>
      </c>
      <c r="CP93">
        <f t="shared" si="85"/>
        <v>235653.23</v>
      </c>
      <c r="CQ93">
        <f t="shared" si="86"/>
        <v>348.51</v>
      </c>
      <c r="CR93">
        <f>((((ET93)*BB93-(EU93)*BS93)+AE93*BS93)*AV93)</f>
        <v>1176.96</v>
      </c>
      <c r="CS93">
        <f t="shared" si="87"/>
        <v>556.29</v>
      </c>
      <c r="CT93">
        <f t="shared" si="88"/>
        <v>0</v>
      </c>
      <c r="CU93">
        <f t="shared" si="89"/>
        <v>0</v>
      </c>
      <c r="CV93">
        <f t="shared" si="90"/>
        <v>0</v>
      </c>
      <c r="CW93">
        <f t="shared" si="91"/>
        <v>0</v>
      </c>
      <c r="CX93">
        <f t="shared" si="92"/>
        <v>0</v>
      </c>
      <c r="CY93">
        <f t="shared" si="93"/>
        <v>0</v>
      </c>
      <c r="CZ93">
        <f t="shared" si="94"/>
        <v>0</v>
      </c>
      <c r="DC93" t="s">
        <v>3</v>
      </c>
      <c r="DD93" t="s">
        <v>3</v>
      </c>
      <c r="DE93" t="s">
        <v>3</v>
      </c>
      <c r="DF93" t="s">
        <v>3</v>
      </c>
      <c r="DG93" t="s">
        <v>3</v>
      </c>
      <c r="DH93" t="s">
        <v>3</v>
      </c>
      <c r="DI93" t="s">
        <v>3</v>
      </c>
      <c r="DJ93" t="s">
        <v>3</v>
      </c>
      <c r="DK93" t="s">
        <v>3</v>
      </c>
      <c r="DL93" t="s">
        <v>3</v>
      </c>
      <c r="DM93" t="s">
        <v>3</v>
      </c>
      <c r="DN93">
        <v>0</v>
      </c>
      <c r="DO93">
        <v>0</v>
      </c>
      <c r="DP93">
        <v>1</v>
      </c>
      <c r="DQ93">
        <v>1</v>
      </c>
      <c r="DU93">
        <v>1005</v>
      </c>
      <c r="DV93" t="s">
        <v>20</v>
      </c>
      <c r="DW93" t="s">
        <v>20</v>
      </c>
      <c r="DX93">
        <v>1000</v>
      </c>
      <c r="DZ93" t="s">
        <v>3</v>
      </c>
      <c r="EA93" t="s">
        <v>3</v>
      </c>
      <c r="EB93" t="s">
        <v>3</v>
      </c>
      <c r="EC93" t="s">
        <v>3</v>
      </c>
      <c r="EE93">
        <v>80196140</v>
      </c>
      <c r="EF93">
        <v>1</v>
      </c>
      <c r="EG93" t="s">
        <v>23</v>
      </c>
      <c r="EH93">
        <v>0</v>
      </c>
      <c r="EI93" t="s">
        <v>3</v>
      </c>
      <c r="EJ93">
        <v>4</v>
      </c>
      <c r="EK93">
        <v>0</v>
      </c>
      <c r="EL93" t="s">
        <v>24</v>
      </c>
      <c r="EM93" t="s">
        <v>25</v>
      </c>
      <c r="EO93" t="s">
        <v>3</v>
      </c>
      <c r="EQ93">
        <v>1024</v>
      </c>
      <c r="ER93">
        <v>1525.47</v>
      </c>
      <c r="ES93">
        <v>348.51</v>
      </c>
      <c r="ET93">
        <v>1176.96</v>
      </c>
      <c r="EU93">
        <v>556.29</v>
      </c>
      <c r="EV93">
        <v>0</v>
      </c>
      <c r="EW93">
        <v>0</v>
      </c>
      <c r="EX93">
        <v>0</v>
      </c>
      <c r="EY93">
        <v>0</v>
      </c>
      <c r="FQ93">
        <v>0</v>
      </c>
      <c r="FR93">
        <v>0</v>
      </c>
      <c r="FS93">
        <v>0</v>
      </c>
      <c r="FX93">
        <v>70</v>
      </c>
      <c r="FY93">
        <v>10</v>
      </c>
      <c r="GA93" t="s">
        <v>3</v>
      </c>
      <c r="GD93">
        <v>0</v>
      </c>
      <c r="GF93">
        <v>508839597</v>
      </c>
      <c r="GG93">
        <v>2</v>
      </c>
      <c r="GH93">
        <v>1</v>
      </c>
      <c r="GI93">
        <v>-2</v>
      </c>
      <c r="GJ93">
        <v>0</v>
      </c>
      <c r="GK93">
        <f>ROUND(R93*(R12)/100,2)</f>
        <v>92809.99</v>
      </c>
      <c r="GL93">
        <f t="shared" si="95"/>
        <v>0</v>
      </c>
      <c r="GM93">
        <f t="shared" si="96"/>
        <v>328463.21999999997</v>
      </c>
      <c r="GN93">
        <f t="shared" si="97"/>
        <v>0</v>
      </c>
      <c r="GO93">
        <f t="shared" si="98"/>
        <v>0</v>
      </c>
      <c r="GP93">
        <f t="shared" si="99"/>
        <v>328463.21999999997</v>
      </c>
      <c r="GR93">
        <v>0</v>
      </c>
      <c r="GS93">
        <v>3</v>
      </c>
      <c r="GT93">
        <v>0</v>
      </c>
      <c r="GU93" t="s">
        <v>3</v>
      </c>
      <c r="GV93">
        <f t="shared" si="100"/>
        <v>0</v>
      </c>
      <c r="GW93">
        <v>1</v>
      </c>
      <c r="GX93">
        <f t="shared" si="101"/>
        <v>0</v>
      </c>
      <c r="HA93">
        <v>0</v>
      </c>
      <c r="HB93">
        <v>0</v>
      </c>
      <c r="HC93">
        <f t="shared" si="102"/>
        <v>0</v>
      </c>
      <c r="HE93" t="s">
        <v>3</v>
      </c>
      <c r="HF93" t="s">
        <v>3</v>
      </c>
      <c r="HM93" t="s">
        <v>3</v>
      </c>
      <c r="HN93" t="s">
        <v>3</v>
      </c>
      <c r="HO93" t="s">
        <v>3</v>
      </c>
      <c r="HP93" t="s">
        <v>3</v>
      </c>
      <c r="HQ93" t="s">
        <v>3</v>
      </c>
      <c r="HS93">
        <v>0</v>
      </c>
      <c r="IK93">
        <v>0</v>
      </c>
    </row>
    <row r="94" spans="1:245" x14ac:dyDescent="0.25">
      <c r="A94">
        <v>18</v>
      </c>
      <c r="B94">
        <v>1</v>
      </c>
      <c r="C94">
        <v>37</v>
      </c>
      <c r="E94" t="s">
        <v>3</v>
      </c>
      <c r="F94" t="s">
        <v>37</v>
      </c>
      <c r="G94" t="s">
        <v>38</v>
      </c>
      <c r="H94" t="s">
        <v>39</v>
      </c>
      <c r="I94">
        <f>I93*J94</f>
        <v>-173.016592</v>
      </c>
      <c r="J94">
        <v>-1.1200000000000001</v>
      </c>
      <c r="K94">
        <v>-1.1200000000000001</v>
      </c>
      <c r="O94">
        <f t="shared" si="71"/>
        <v>-9483.0400000000009</v>
      </c>
      <c r="P94">
        <f t="shared" si="72"/>
        <v>-9483.0400000000009</v>
      </c>
      <c r="Q94">
        <f t="shared" si="73"/>
        <v>0</v>
      </c>
      <c r="R94">
        <f t="shared" si="74"/>
        <v>0</v>
      </c>
      <c r="S94">
        <f t="shared" si="75"/>
        <v>0</v>
      </c>
      <c r="T94">
        <f t="shared" si="76"/>
        <v>0</v>
      </c>
      <c r="U94">
        <f t="shared" si="77"/>
        <v>0</v>
      </c>
      <c r="V94">
        <f t="shared" si="78"/>
        <v>0</v>
      </c>
      <c r="W94">
        <f t="shared" si="79"/>
        <v>0</v>
      </c>
      <c r="X94">
        <f t="shared" si="80"/>
        <v>0</v>
      </c>
      <c r="Y94">
        <f t="shared" si="81"/>
        <v>0</v>
      </c>
      <c r="AA94">
        <v>-1</v>
      </c>
      <c r="AB94">
        <f t="shared" si="82"/>
        <v>54.81</v>
      </c>
      <c r="AC94">
        <f>ROUND((ES94),6)</f>
        <v>54.81</v>
      </c>
      <c r="AD94">
        <f>ROUND((((ET94)-(EU94))+AE94),6)</f>
        <v>0</v>
      </c>
      <c r="AE94">
        <f t="shared" si="105"/>
        <v>0</v>
      </c>
      <c r="AF94">
        <f t="shared" si="105"/>
        <v>0</v>
      </c>
      <c r="AG94">
        <f t="shared" si="83"/>
        <v>0</v>
      </c>
      <c r="AH94">
        <f t="shared" si="106"/>
        <v>0</v>
      </c>
      <c r="AI94">
        <f t="shared" si="106"/>
        <v>0</v>
      </c>
      <c r="AJ94">
        <f t="shared" si="84"/>
        <v>0</v>
      </c>
      <c r="AK94">
        <v>54.81</v>
      </c>
      <c r="AL94">
        <v>54.81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70</v>
      </c>
      <c r="AU94">
        <v>10</v>
      </c>
      <c r="AV94">
        <v>1</v>
      </c>
      <c r="AW94">
        <v>1</v>
      </c>
      <c r="AZ94">
        <v>1</v>
      </c>
      <c r="BA94">
        <v>1</v>
      </c>
      <c r="BB94">
        <v>1</v>
      </c>
      <c r="BC94">
        <v>1</v>
      </c>
      <c r="BD94" t="s">
        <v>3</v>
      </c>
      <c r="BE94" t="s">
        <v>3</v>
      </c>
      <c r="BF94" t="s">
        <v>3</v>
      </c>
      <c r="BG94" t="s">
        <v>3</v>
      </c>
      <c r="BH94">
        <v>3</v>
      </c>
      <c r="BI94">
        <v>4</v>
      </c>
      <c r="BJ94" t="s">
        <v>40</v>
      </c>
      <c r="BM94">
        <v>0</v>
      </c>
      <c r="BN94">
        <v>0</v>
      </c>
      <c r="BO94" t="s">
        <v>3</v>
      </c>
      <c r="BP94">
        <v>0</v>
      </c>
      <c r="BQ94">
        <v>1</v>
      </c>
      <c r="BR94">
        <v>1</v>
      </c>
      <c r="BS94">
        <v>1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3</v>
      </c>
      <c r="BZ94">
        <v>70</v>
      </c>
      <c r="CA94">
        <v>10</v>
      </c>
      <c r="CB94" t="s">
        <v>3</v>
      </c>
      <c r="CE94">
        <v>0</v>
      </c>
      <c r="CF94">
        <v>0</v>
      </c>
      <c r="CG94">
        <v>0</v>
      </c>
      <c r="CM94">
        <v>0</v>
      </c>
      <c r="CN94" t="s">
        <v>3</v>
      </c>
      <c r="CO94">
        <v>0</v>
      </c>
      <c r="CP94">
        <f t="shared" si="85"/>
        <v>-9483.0400000000009</v>
      </c>
      <c r="CQ94">
        <f t="shared" si="86"/>
        <v>54.81</v>
      </c>
      <c r="CR94">
        <f>((((ET94)*BB94-(EU94)*BS94)+AE94*BS94)*AV94)</f>
        <v>0</v>
      </c>
      <c r="CS94">
        <f t="shared" si="87"/>
        <v>0</v>
      </c>
      <c r="CT94">
        <f t="shared" si="88"/>
        <v>0</v>
      </c>
      <c r="CU94">
        <f t="shared" si="89"/>
        <v>0</v>
      </c>
      <c r="CV94">
        <f t="shared" si="90"/>
        <v>0</v>
      </c>
      <c r="CW94">
        <f t="shared" si="91"/>
        <v>0</v>
      </c>
      <c r="CX94">
        <f t="shared" si="92"/>
        <v>0</v>
      </c>
      <c r="CY94">
        <f t="shared" si="93"/>
        <v>0</v>
      </c>
      <c r="CZ94">
        <f t="shared" si="94"/>
        <v>0</v>
      </c>
      <c r="DC94" t="s">
        <v>3</v>
      </c>
      <c r="DD94" t="s">
        <v>3</v>
      </c>
      <c r="DE94" t="s">
        <v>3</v>
      </c>
      <c r="DF94" t="s">
        <v>3</v>
      </c>
      <c r="DG94" t="s">
        <v>3</v>
      </c>
      <c r="DH94" t="s">
        <v>3</v>
      </c>
      <c r="DI94" t="s">
        <v>3</v>
      </c>
      <c r="DJ94" t="s">
        <v>3</v>
      </c>
      <c r="DK94" t="s">
        <v>3</v>
      </c>
      <c r="DL94" t="s">
        <v>3</v>
      </c>
      <c r="DM94" t="s">
        <v>3</v>
      </c>
      <c r="DN94">
        <v>0</v>
      </c>
      <c r="DO94">
        <v>0</v>
      </c>
      <c r="DP94">
        <v>1</v>
      </c>
      <c r="DQ94">
        <v>1</v>
      </c>
      <c r="DU94">
        <v>1007</v>
      </c>
      <c r="DV94" t="s">
        <v>39</v>
      </c>
      <c r="DW94" t="s">
        <v>39</v>
      </c>
      <c r="DX94">
        <v>1</v>
      </c>
      <c r="DZ94" t="s">
        <v>3</v>
      </c>
      <c r="EA94" t="s">
        <v>3</v>
      </c>
      <c r="EB94" t="s">
        <v>3</v>
      </c>
      <c r="EC94" t="s">
        <v>3</v>
      </c>
      <c r="EE94">
        <v>80196140</v>
      </c>
      <c r="EF94">
        <v>1</v>
      </c>
      <c r="EG94" t="s">
        <v>23</v>
      </c>
      <c r="EH94">
        <v>0</v>
      </c>
      <c r="EI94" t="s">
        <v>3</v>
      </c>
      <c r="EJ94">
        <v>4</v>
      </c>
      <c r="EK94">
        <v>0</v>
      </c>
      <c r="EL94" t="s">
        <v>24</v>
      </c>
      <c r="EM94" t="s">
        <v>25</v>
      </c>
      <c r="EO94" t="s">
        <v>3</v>
      </c>
      <c r="EQ94">
        <v>1024</v>
      </c>
      <c r="ER94">
        <v>54.81</v>
      </c>
      <c r="ES94">
        <v>54.81</v>
      </c>
      <c r="ET94">
        <v>0</v>
      </c>
      <c r="EU94">
        <v>0</v>
      </c>
      <c r="EV94">
        <v>0</v>
      </c>
      <c r="EW94">
        <v>0</v>
      </c>
      <c r="EX94">
        <v>0</v>
      </c>
      <c r="FQ94">
        <v>0</v>
      </c>
      <c r="FR94">
        <v>0</v>
      </c>
      <c r="FS94">
        <v>0</v>
      </c>
      <c r="FX94">
        <v>70</v>
      </c>
      <c r="FY94">
        <v>10</v>
      </c>
      <c r="GA94" t="s">
        <v>3</v>
      </c>
      <c r="GD94">
        <v>0</v>
      </c>
      <c r="GF94">
        <v>2112060389</v>
      </c>
      <c r="GG94">
        <v>2</v>
      </c>
      <c r="GH94">
        <v>1</v>
      </c>
      <c r="GI94">
        <v>-2</v>
      </c>
      <c r="GJ94">
        <v>0</v>
      </c>
      <c r="GK94">
        <f>ROUND(R94*(R12)/100,2)</f>
        <v>0</v>
      </c>
      <c r="GL94">
        <f t="shared" si="95"/>
        <v>0</v>
      </c>
      <c r="GM94">
        <f t="shared" si="96"/>
        <v>-9483.0400000000009</v>
      </c>
      <c r="GN94">
        <f t="shared" si="97"/>
        <v>0</v>
      </c>
      <c r="GO94">
        <f t="shared" si="98"/>
        <v>0</v>
      </c>
      <c r="GP94">
        <f t="shared" si="99"/>
        <v>-9483.0400000000009</v>
      </c>
      <c r="GR94">
        <v>0</v>
      </c>
      <c r="GS94">
        <v>3</v>
      </c>
      <c r="GT94">
        <v>0</v>
      </c>
      <c r="GU94" t="s">
        <v>3</v>
      </c>
      <c r="GV94">
        <f t="shared" si="100"/>
        <v>0</v>
      </c>
      <c r="GW94">
        <v>1</v>
      </c>
      <c r="GX94">
        <f t="shared" si="101"/>
        <v>0</v>
      </c>
      <c r="HA94">
        <v>0</v>
      </c>
      <c r="HB94">
        <v>0</v>
      </c>
      <c r="HC94">
        <f t="shared" si="102"/>
        <v>0</v>
      </c>
      <c r="HE94" t="s">
        <v>3</v>
      </c>
      <c r="HF94" t="s">
        <v>3</v>
      </c>
      <c r="HM94" t="s">
        <v>3</v>
      </c>
      <c r="HN94" t="s">
        <v>3</v>
      </c>
      <c r="HO94" t="s">
        <v>3</v>
      </c>
      <c r="HP94" t="s">
        <v>3</v>
      </c>
      <c r="HQ94" t="s">
        <v>3</v>
      </c>
      <c r="HS94">
        <v>0</v>
      </c>
      <c r="IK94">
        <v>0</v>
      </c>
    </row>
    <row r="95" spans="1:245" x14ac:dyDescent="0.25">
      <c r="A95">
        <v>17</v>
      </c>
      <c r="B95">
        <v>1</v>
      </c>
      <c r="C95">
        <f>ROW(SmtRes!A40)</f>
        <v>40</v>
      </c>
      <c r="D95">
        <f>ROW(EtalonRes!A40)</f>
        <v>40</v>
      </c>
      <c r="E95" t="s">
        <v>177</v>
      </c>
      <c r="F95" t="s">
        <v>178</v>
      </c>
      <c r="G95" t="s">
        <v>179</v>
      </c>
      <c r="H95" t="s">
        <v>29</v>
      </c>
      <c r="I95">
        <v>1.5824</v>
      </c>
      <c r="J95">
        <v>0</v>
      </c>
      <c r="K95">
        <v>1.5824</v>
      </c>
      <c r="O95">
        <f t="shared" si="71"/>
        <v>105493.23</v>
      </c>
      <c r="P95">
        <f t="shared" si="72"/>
        <v>86.84</v>
      </c>
      <c r="Q95">
        <f t="shared" si="73"/>
        <v>0</v>
      </c>
      <c r="R95">
        <f t="shared" si="74"/>
        <v>0</v>
      </c>
      <c r="S95">
        <f t="shared" si="75"/>
        <v>105406.39</v>
      </c>
      <c r="T95">
        <f t="shared" si="76"/>
        <v>0</v>
      </c>
      <c r="U95">
        <f t="shared" si="77"/>
        <v>232.61279999999999</v>
      </c>
      <c r="V95">
        <f t="shared" si="78"/>
        <v>0</v>
      </c>
      <c r="W95">
        <f t="shared" si="79"/>
        <v>0</v>
      </c>
      <c r="X95">
        <f t="shared" si="80"/>
        <v>73784.47</v>
      </c>
      <c r="Y95">
        <f t="shared" si="81"/>
        <v>10540.64</v>
      </c>
      <c r="AA95">
        <v>80889732</v>
      </c>
      <c r="AB95">
        <f t="shared" si="82"/>
        <v>66666.600000000006</v>
      </c>
      <c r="AC95">
        <f>ROUND(((ES95*28)),6)</f>
        <v>54.88</v>
      </c>
      <c r="AD95">
        <f>ROUND(((((ET95*28))-((EU95*28)))+AE95),6)</f>
        <v>0</v>
      </c>
      <c r="AE95">
        <f>ROUND(((EU95*28)),6)</f>
        <v>0</v>
      </c>
      <c r="AF95">
        <f>ROUND(((EV95*28)),6)</f>
        <v>66611.72</v>
      </c>
      <c r="AG95">
        <f t="shared" si="83"/>
        <v>0</v>
      </c>
      <c r="AH95">
        <f>((EW95*28))</f>
        <v>147</v>
      </c>
      <c r="AI95">
        <f>((EX95*28))</f>
        <v>0</v>
      </c>
      <c r="AJ95">
        <f t="shared" si="84"/>
        <v>0</v>
      </c>
      <c r="AK95">
        <v>2380.9499999999998</v>
      </c>
      <c r="AL95">
        <v>1.96</v>
      </c>
      <c r="AM95">
        <v>0</v>
      </c>
      <c r="AN95">
        <v>0</v>
      </c>
      <c r="AO95">
        <v>2378.9899999999998</v>
      </c>
      <c r="AP95">
        <v>0</v>
      </c>
      <c r="AQ95">
        <v>5.25</v>
      </c>
      <c r="AR95">
        <v>0</v>
      </c>
      <c r="AS95">
        <v>0</v>
      </c>
      <c r="AT95">
        <v>70</v>
      </c>
      <c r="AU95">
        <v>10</v>
      </c>
      <c r="AV95">
        <v>1</v>
      </c>
      <c r="AW95">
        <v>1</v>
      </c>
      <c r="AZ95">
        <v>1</v>
      </c>
      <c r="BA95">
        <v>1</v>
      </c>
      <c r="BB95">
        <v>1</v>
      </c>
      <c r="BC95">
        <v>1</v>
      </c>
      <c r="BD95" t="s">
        <v>3</v>
      </c>
      <c r="BE95" t="s">
        <v>3</v>
      </c>
      <c r="BF95" t="s">
        <v>3</v>
      </c>
      <c r="BG95" t="s">
        <v>3</v>
      </c>
      <c r="BH95">
        <v>0</v>
      </c>
      <c r="BI95">
        <v>4</v>
      </c>
      <c r="BJ95" t="s">
        <v>180</v>
      </c>
      <c r="BM95">
        <v>0</v>
      </c>
      <c r="BN95">
        <v>0</v>
      </c>
      <c r="BO95" t="s">
        <v>3</v>
      </c>
      <c r="BP95">
        <v>0</v>
      </c>
      <c r="BQ95">
        <v>1</v>
      </c>
      <c r="BR95">
        <v>0</v>
      </c>
      <c r="BS95">
        <v>1</v>
      </c>
      <c r="BT95">
        <v>1</v>
      </c>
      <c r="BU95">
        <v>1</v>
      </c>
      <c r="BV95">
        <v>1</v>
      </c>
      <c r="BW95">
        <v>1</v>
      </c>
      <c r="BX95">
        <v>1</v>
      </c>
      <c r="BY95" t="s">
        <v>3</v>
      </c>
      <c r="BZ95">
        <v>70</v>
      </c>
      <c r="CA95">
        <v>10</v>
      </c>
      <c r="CB95" t="s">
        <v>3</v>
      </c>
      <c r="CE95">
        <v>0</v>
      </c>
      <c r="CF95">
        <v>0</v>
      </c>
      <c r="CG95">
        <v>0</v>
      </c>
      <c r="CM95">
        <v>0</v>
      </c>
      <c r="CN95" t="s">
        <v>3</v>
      </c>
      <c r="CO95">
        <v>0</v>
      </c>
      <c r="CP95">
        <f t="shared" si="85"/>
        <v>105493.23</v>
      </c>
      <c r="CQ95">
        <f t="shared" si="86"/>
        <v>54.88</v>
      </c>
      <c r="CR95">
        <f>(((((ET95*28))*BB95-((EU95*28))*BS95)+AE95*BS95)*AV95)</f>
        <v>0</v>
      </c>
      <c r="CS95">
        <f t="shared" si="87"/>
        <v>0</v>
      </c>
      <c r="CT95">
        <f t="shared" si="88"/>
        <v>66611.72</v>
      </c>
      <c r="CU95">
        <f t="shared" si="89"/>
        <v>0</v>
      </c>
      <c r="CV95">
        <f t="shared" si="90"/>
        <v>147</v>
      </c>
      <c r="CW95">
        <f t="shared" si="91"/>
        <v>0</v>
      </c>
      <c r="CX95">
        <f t="shared" si="92"/>
        <v>0</v>
      </c>
      <c r="CY95">
        <f t="shared" si="93"/>
        <v>73784.472999999998</v>
      </c>
      <c r="CZ95">
        <f t="shared" si="94"/>
        <v>10540.638999999999</v>
      </c>
      <c r="DC95" t="s">
        <v>3</v>
      </c>
      <c r="DD95" t="s">
        <v>181</v>
      </c>
      <c r="DE95" t="s">
        <v>181</v>
      </c>
      <c r="DF95" t="s">
        <v>181</v>
      </c>
      <c r="DG95" t="s">
        <v>181</v>
      </c>
      <c r="DH95" t="s">
        <v>3</v>
      </c>
      <c r="DI95" t="s">
        <v>181</v>
      </c>
      <c r="DJ95" t="s">
        <v>181</v>
      </c>
      <c r="DK95" t="s">
        <v>3</v>
      </c>
      <c r="DL95" t="s">
        <v>3</v>
      </c>
      <c r="DM95" t="s">
        <v>3</v>
      </c>
      <c r="DN95">
        <v>0</v>
      </c>
      <c r="DO95">
        <v>0</v>
      </c>
      <c r="DP95">
        <v>1</v>
      </c>
      <c r="DQ95">
        <v>1</v>
      </c>
      <c r="DU95">
        <v>1005</v>
      </c>
      <c r="DV95" t="s">
        <v>29</v>
      </c>
      <c r="DW95" t="s">
        <v>29</v>
      </c>
      <c r="DX95">
        <v>100</v>
      </c>
      <c r="DZ95" t="s">
        <v>3</v>
      </c>
      <c r="EA95" t="s">
        <v>3</v>
      </c>
      <c r="EB95" t="s">
        <v>3</v>
      </c>
      <c r="EC95" t="s">
        <v>3</v>
      </c>
      <c r="EE95">
        <v>80196140</v>
      </c>
      <c r="EF95">
        <v>1</v>
      </c>
      <c r="EG95" t="s">
        <v>23</v>
      </c>
      <c r="EH95">
        <v>0</v>
      </c>
      <c r="EI95" t="s">
        <v>3</v>
      </c>
      <c r="EJ95">
        <v>4</v>
      </c>
      <c r="EK95">
        <v>0</v>
      </c>
      <c r="EL95" t="s">
        <v>24</v>
      </c>
      <c r="EM95" t="s">
        <v>25</v>
      </c>
      <c r="EO95" t="s">
        <v>3</v>
      </c>
      <c r="EQ95">
        <v>0</v>
      </c>
      <c r="ER95">
        <v>2380.9499999999998</v>
      </c>
      <c r="ES95">
        <v>1.96</v>
      </c>
      <c r="ET95">
        <v>0</v>
      </c>
      <c r="EU95">
        <v>0</v>
      </c>
      <c r="EV95">
        <v>2378.9899999999998</v>
      </c>
      <c r="EW95">
        <v>5.25</v>
      </c>
      <c r="EX95">
        <v>0</v>
      </c>
      <c r="EY95">
        <v>0</v>
      </c>
      <c r="FQ95">
        <v>0</v>
      </c>
      <c r="FR95">
        <v>0</v>
      </c>
      <c r="FS95">
        <v>0</v>
      </c>
      <c r="FX95">
        <v>70</v>
      </c>
      <c r="FY95">
        <v>10</v>
      </c>
      <c r="GA95" t="s">
        <v>3</v>
      </c>
      <c r="GD95">
        <v>0</v>
      </c>
      <c r="GF95">
        <v>-256460189</v>
      </c>
      <c r="GG95">
        <v>2</v>
      </c>
      <c r="GH95">
        <v>1</v>
      </c>
      <c r="GI95">
        <v>-2</v>
      </c>
      <c r="GJ95">
        <v>0</v>
      </c>
      <c r="GK95">
        <f>ROUND(R95*(R12)/100,2)</f>
        <v>0</v>
      </c>
      <c r="GL95">
        <f t="shared" si="95"/>
        <v>0</v>
      </c>
      <c r="GM95">
        <f t="shared" si="96"/>
        <v>189818.34</v>
      </c>
      <c r="GN95">
        <f t="shared" si="97"/>
        <v>0</v>
      </c>
      <c r="GO95">
        <f t="shared" si="98"/>
        <v>0</v>
      </c>
      <c r="GP95">
        <f t="shared" si="99"/>
        <v>189818.34</v>
      </c>
      <c r="GR95">
        <v>0</v>
      </c>
      <c r="GS95">
        <v>3</v>
      </c>
      <c r="GT95">
        <v>0</v>
      </c>
      <c r="GU95" t="s">
        <v>3</v>
      </c>
      <c r="GV95">
        <f t="shared" si="100"/>
        <v>0</v>
      </c>
      <c r="GW95">
        <v>1</v>
      </c>
      <c r="GX95">
        <f t="shared" si="101"/>
        <v>0</v>
      </c>
      <c r="HA95">
        <v>0</v>
      </c>
      <c r="HB95">
        <v>0</v>
      </c>
      <c r="HC95">
        <f t="shared" si="102"/>
        <v>0</v>
      </c>
      <c r="HE95" t="s">
        <v>3</v>
      </c>
      <c r="HF95" t="s">
        <v>3</v>
      </c>
      <c r="HM95" t="s">
        <v>3</v>
      </c>
      <c r="HN95" t="s">
        <v>3</v>
      </c>
      <c r="HO95" t="s">
        <v>3</v>
      </c>
      <c r="HP95" t="s">
        <v>3</v>
      </c>
      <c r="HQ95" t="s">
        <v>3</v>
      </c>
      <c r="HS95">
        <v>0</v>
      </c>
      <c r="IK95">
        <v>0</v>
      </c>
    </row>
    <row r="96" spans="1:245" x14ac:dyDescent="0.25">
      <c r="A96">
        <v>18</v>
      </c>
      <c r="B96">
        <v>1</v>
      </c>
      <c r="C96">
        <v>40</v>
      </c>
      <c r="E96" t="s">
        <v>182</v>
      </c>
      <c r="F96" t="s">
        <v>37</v>
      </c>
      <c r="G96" t="s">
        <v>38</v>
      </c>
      <c r="H96" t="s">
        <v>39</v>
      </c>
      <c r="I96">
        <f>I95*J96</f>
        <v>-0.44307200000000008</v>
      </c>
      <c r="J96">
        <v>-0.28000000000000003</v>
      </c>
      <c r="K96">
        <v>-0.01</v>
      </c>
      <c r="O96">
        <f t="shared" si="71"/>
        <v>-24.28</v>
      </c>
      <c r="P96">
        <f t="shared" si="72"/>
        <v>-24.28</v>
      </c>
      <c r="Q96">
        <f t="shared" si="73"/>
        <v>0</v>
      </c>
      <c r="R96">
        <f t="shared" si="74"/>
        <v>0</v>
      </c>
      <c r="S96">
        <f t="shared" si="75"/>
        <v>0</v>
      </c>
      <c r="T96">
        <f t="shared" si="76"/>
        <v>0</v>
      </c>
      <c r="U96">
        <f t="shared" si="77"/>
        <v>0</v>
      </c>
      <c r="V96">
        <f t="shared" si="78"/>
        <v>0</v>
      </c>
      <c r="W96">
        <f t="shared" si="79"/>
        <v>0</v>
      </c>
      <c r="X96">
        <f t="shared" si="80"/>
        <v>0</v>
      </c>
      <c r="Y96">
        <f t="shared" si="81"/>
        <v>0</v>
      </c>
      <c r="AA96">
        <v>80889732</v>
      </c>
      <c r="AB96">
        <f t="shared" si="82"/>
        <v>54.81</v>
      </c>
      <c r="AC96">
        <f>ROUND((ES96),6)</f>
        <v>54.81</v>
      </c>
      <c r="AD96">
        <f>ROUND((((ET96)-(EU96))+AE96),6)</f>
        <v>0</v>
      </c>
      <c r="AE96">
        <f>ROUND((EU96),6)</f>
        <v>0</v>
      </c>
      <c r="AF96">
        <f>ROUND((EV96),6)</f>
        <v>0</v>
      </c>
      <c r="AG96">
        <f t="shared" si="83"/>
        <v>0</v>
      </c>
      <c r="AH96">
        <f>(EW96)</f>
        <v>0</v>
      </c>
      <c r="AI96">
        <f>(EX96)</f>
        <v>0</v>
      </c>
      <c r="AJ96">
        <f t="shared" si="84"/>
        <v>0</v>
      </c>
      <c r="AK96">
        <v>54.81</v>
      </c>
      <c r="AL96">
        <v>54.81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70</v>
      </c>
      <c r="AU96">
        <v>10</v>
      </c>
      <c r="AV96">
        <v>1</v>
      </c>
      <c r="AW96">
        <v>1</v>
      </c>
      <c r="AZ96">
        <v>1</v>
      </c>
      <c r="BA96">
        <v>1</v>
      </c>
      <c r="BB96">
        <v>1</v>
      </c>
      <c r="BC96">
        <v>1</v>
      </c>
      <c r="BD96" t="s">
        <v>3</v>
      </c>
      <c r="BE96" t="s">
        <v>3</v>
      </c>
      <c r="BF96" t="s">
        <v>3</v>
      </c>
      <c r="BG96" t="s">
        <v>3</v>
      </c>
      <c r="BH96">
        <v>3</v>
      </c>
      <c r="BI96">
        <v>4</v>
      </c>
      <c r="BJ96" t="s">
        <v>40</v>
      </c>
      <c r="BM96">
        <v>0</v>
      </c>
      <c r="BN96">
        <v>0</v>
      </c>
      <c r="BO96" t="s">
        <v>3</v>
      </c>
      <c r="BP96">
        <v>0</v>
      </c>
      <c r="BQ96">
        <v>1</v>
      </c>
      <c r="BR96">
        <v>1</v>
      </c>
      <c r="BS96">
        <v>1</v>
      </c>
      <c r="BT96">
        <v>1</v>
      </c>
      <c r="BU96">
        <v>1</v>
      </c>
      <c r="BV96">
        <v>1</v>
      </c>
      <c r="BW96">
        <v>1</v>
      </c>
      <c r="BX96">
        <v>1</v>
      </c>
      <c r="BY96" t="s">
        <v>3</v>
      </c>
      <c r="BZ96">
        <v>70</v>
      </c>
      <c r="CA96">
        <v>10</v>
      </c>
      <c r="CB96" t="s">
        <v>3</v>
      </c>
      <c r="CE96">
        <v>0</v>
      </c>
      <c r="CF96">
        <v>0</v>
      </c>
      <c r="CG96">
        <v>0</v>
      </c>
      <c r="CM96">
        <v>0</v>
      </c>
      <c r="CN96" t="s">
        <v>3</v>
      </c>
      <c r="CO96">
        <v>0</v>
      </c>
      <c r="CP96">
        <f t="shared" si="85"/>
        <v>-24.28</v>
      </c>
      <c r="CQ96">
        <f t="shared" si="86"/>
        <v>54.81</v>
      </c>
      <c r="CR96">
        <f>((((ET96)*BB96-(EU96)*BS96)+AE96*BS96)*AV96)</f>
        <v>0</v>
      </c>
      <c r="CS96">
        <f t="shared" si="87"/>
        <v>0</v>
      </c>
      <c r="CT96">
        <f t="shared" si="88"/>
        <v>0</v>
      </c>
      <c r="CU96">
        <f t="shared" si="89"/>
        <v>0</v>
      </c>
      <c r="CV96">
        <f t="shared" si="90"/>
        <v>0</v>
      </c>
      <c r="CW96">
        <f t="shared" si="91"/>
        <v>0</v>
      </c>
      <c r="CX96">
        <f t="shared" si="92"/>
        <v>0</v>
      </c>
      <c r="CY96">
        <f t="shared" si="93"/>
        <v>0</v>
      </c>
      <c r="CZ96">
        <f t="shared" si="94"/>
        <v>0</v>
      </c>
      <c r="DC96" t="s">
        <v>3</v>
      </c>
      <c r="DD96" t="s">
        <v>3</v>
      </c>
      <c r="DE96" t="s">
        <v>3</v>
      </c>
      <c r="DF96" t="s">
        <v>3</v>
      </c>
      <c r="DG96" t="s">
        <v>3</v>
      </c>
      <c r="DH96" t="s">
        <v>3</v>
      </c>
      <c r="DI96" t="s">
        <v>3</v>
      </c>
      <c r="DJ96" t="s">
        <v>3</v>
      </c>
      <c r="DK96" t="s">
        <v>3</v>
      </c>
      <c r="DL96" t="s">
        <v>3</v>
      </c>
      <c r="DM96" t="s">
        <v>3</v>
      </c>
      <c r="DN96">
        <v>0</v>
      </c>
      <c r="DO96">
        <v>0</v>
      </c>
      <c r="DP96">
        <v>1</v>
      </c>
      <c r="DQ96">
        <v>1</v>
      </c>
      <c r="DU96">
        <v>1007</v>
      </c>
      <c r="DV96" t="s">
        <v>39</v>
      </c>
      <c r="DW96" t="s">
        <v>39</v>
      </c>
      <c r="DX96">
        <v>1</v>
      </c>
      <c r="DZ96" t="s">
        <v>3</v>
      </c>
      <c r="EA96" t="s">
        <v>3</v>
      </c>
      <c r="EB96" t="s">
        <v>3</v>
      </c>
      <c r="EC96" t="s">
        <v>3</v>
      </c>
      <c r="EE96">
        <v>80196140</v>
      </c>
      <c r="EF96">
        <v>1</v>
      </c>
      <c r="EG96" t="s">
        <v>23</v>
      </c>
      <c r="EH96">
        <v>0</v>
      </c>
      <c r="EI96" t="s">
        <v>3</v>
      </c>
      <c r="EJ96">
        <v>4</v>
      </c>
      <c r="EK96">
        <v>0</v>
      </c>
      <c r="EL96" t="s">
        <v>24</v>
      </c>
      <c r="EM96" t="s">
        <v>25</v>
      </c>
      <c r="EO96" t="s">
        <v>3</v>
      </c>
      <c r="EQ96">
        <v>0</v>
      </c>
      <c r="ER96">
        <v>54.81</v>
      </c>
      <c r="ES96">
        <v>54.81</v>
      </c>
      <c r="ET96">
        <v>0</v>
      </c>
      <c r="EU96">
        <v>0</v>
      </c>
      <c r="EV96">
        <v>0</v>
      </c>
      <c r="EW96">
        <v>0</v>
      </c>
      <c r="EX96">
        <v>0</v>
      </c>
      <c r="FQ96">
        <v>0</v>
      </c>
      <c r="FR96">
        <v>0</v>
      </c>
      <c r="FS96">
        <v>0</v>
      </c>
      <c r="FX96">
        <v>70</v>
      </c>
      <c r="FY96">
        <v>10</v>
      </c>
      <c r="GA96" t="s">
        <v>3</v>
      </c>
      <c r="GD96">
        <v>0</v>
      </c>
      <c r="GF96">
        <v>2112060389</v>
      </c>
      <c r="GG96">
        <v>2</v>
      </c>
      <c r="GH96">
        <v>1</v>
      </c>
      <c r="GI96">
        <v>-2</v>
      </c>
      <c r="GJ96">
        <v>0</v>
      </c>
      <c r="GK96">
        <f>ROUND(R96*(R12)/100,2)</f>
        <v>0</v>
      </c>
      <c r="GL96">
        <f t="shared" si="95"/>
        <v>0</v>
      </c>
      <c r="GM96">
        <f t="shared" si="96"/>
        <v>-24.28</v>
      </c>
      <c r="GN96">
        <f t="shared" si="97"/>
        <v>0</v>
      </c>
      <c r="GO96">
        <f t="shared" si="98"/>
        <v>0</v>
      </c>
      <c r="GP96">
        <f t="shared" si="99"/>
        <v>-24.28</v>
      </c>
      <c r="GR96">
        <v>0</v>
      </c>
      <c r="GS96">
        <v>3</v>
      </c>
      <c r="GT96">
        <v>0</v>
      </c>
      <c r="GU96" t="s">
        <v>3</v>
      </c>
      <c r="GV96">
        <f t="shared" si="100"/>
        <v>0</v>
      </c>
      <c r="GW96">
        <v>1</v>
      </c>
      <c r="GX96">
        <f t="shared" si="101"/>
        <v>0</v>
      </c>
      <c r="HA96">
        <v>0</v>
      </c>
      <c r="HB96">
        <v>0</v>
      </c>
      <c r="HC96">
        <f t="shared" si="102"/>
        <v>0</v>
      </c>
      <c r="HE96" t="s">
        <v>3</v>
      </c>
      <c r="HF96" t="s">
        <v>3</v>
      </c>
      <c r="HM96" t="s">
        <v>181</v>
      </c>
      <c r="HN96" t="s">
        <v>3</v>
      </c>
      <c r="HO96" t="s">
        <v>3</v>
      </c>
      <c r="HP96" t="s">
        <v>3</v>
      </c>
      <c r="HQ96" t="s">
        <v>3</v>
      </c>
      <c r="HS96">
        <v>0</v>
      </c>
      <c r="IK96">
        <v>0</v>
      </c>
    </row>
    <row r="97" spans="1:245" x14ac:dyDescent="0.25">
      <c r="A97">
        <v>17</v>
      </c>
      <c r="B97">
        <v>1</v>
      </c>
      <c r="C97">
        <f>ROW(SmtRes!A43)</f>
        <v>43</v>
      </c>
      <c r="D97">
        <f>ROW(EtalonRes!A43)</f>
        <v>43</v>
      </c>
      <c r="E97" t="s">
        <v>3</v>
      </c>
      <c r="F97" t="s">
        <v>183</v>
      </c>
      <c r="G97" t="s">
        <v>184</v>
      </c>
      <c r="H97" t="s">
        <v>29</v>
      </c>
      <c r="I97">
        <v>1.5824</v>
      </c>
      <c r="J97">
        <v>0</v>
      </c>
      <c r="K97">
        <v>1.5824</v>
      </c>
      <c r="O97">
        <f t="shared" si="71"/>
        <v>706271.49</v>
      </c>
      <c r="P97">
        <f t="shared" si="72"/>
        <v>6.19</v>
      </c>
      <c r="Q97">
        <f t="shared" si="73"/>
        <v>0</v>
      </c>
      <c r="R97">
        <f t="shared" si="74"/>
        <v>0</v>
      </c>
      <c r="S97">
        <f t="shared" si="75"/>
        <v>706265.3</v>
      </c>
      <c r="T97">
        <f t="shared" si="76"/>
        <v>0</v>
      </c>
      <c r="U97">
        <f t="shared" si="77"/>
        <v>1558.600704</v>
      </c>
      <c r="V97">
        <f t="shared" si="78"/>
        <v>0</v>
      </c>
      <c r="W97">
        <f t="shared" si="79"/>
        <v>0</v>
      </c>
      <c r="X97">
        <f t="shared" si="80"/>
        <v>494385.71</v>
      </c>
      <c r="Y97">
        <f t="shared" si="81"/>
        <v>70626.53</v>
      </c>
      <c r="AA97">
        <v>-1</v>
      </c>
      <c r="AB97">
        <f t="shared" si="82"/>
        <v>446329.3</v>
      </c>
      <c r="AC97">
        <f>ROUND((ES97),6)</f>
        <v>3.91</v>
      </c>
      <c r="AD97">
        <f>ROUND((((ET97)-(EU97))+AE97),6)</f>
        <v>0</v>
      </c>
      <c r="AE97">
        <f>ROUND((EU97),6)</f>
        <v>0</v>
      </c>
      <c r="AF97">
        <f>ROUND(((EV97*171)),6)</f>
        <v>446325.39</v>
      </c>
      <c r="AG97">
        <f t="shared" si="83"/>
        <v>0</v>
      </c>
      <c r="AH97">
        <f>((EW97*171))</f>
        <v>984.95999999999992</v>
      </c>
      <c r="AI97">
        <f>(EX97)</f>
        <v>0</v>
      </c>
      <c r="AJ97">
        <f t="shared" si="84"/>
        <v>0</v>
      </c>
      <c r="AK97">
        <v>2614</v>
      </c>
      <c r="AL97">
        <v>3.91</v>
      </c>
      <c r="AM97">
        <v>0</v>
      </c>
      <c r="AN97">
        <v>0</v>
      </c>
      <c r="AO97">
        <v>2610.09</v>
      </c>
      <c r="AP97">
        <v>0</v>
      </c>
      <c r="AQ97">
        <v>5.76</v>
      </c>
      <c r="AR97">
        <v>0</v>
      </c>
      <c r="AS97">
        <v>0</v>
      </c>
      <c r="AT97">
        <v>70</v>
      </c>
      <c r="AU97">
        <v>10</v>
      </c>
      <c r="AV97">
        <v>1</v>
      </c>
      <c r="AW97">
        <v>1</v>
      </c>
      <c r="AZ97">
        <v>1</v>
      </c>
      <c r="BA97">
        <v>1</v>
      </c>
      <c r="BB97">
        <v>1</v>
      </c>
      <c r="BC97">
        <v>1</v>
      </c>
      <c r="BD97" t="s">
        <v>3</v>
      </c>
      <c r="BE97" t="s">
        <v>3</v>
      </c>
      <c r="BF97" t="s">
        <v>3</v>
      </c>
      <c r="BG97" t="s">
        <v>3</v>
      </c>
      <c r="BH97">
        <v>0</v>
      </c>
      <c r="BI97">
        <v>4</v>
      </c>
      <c r="BJ97" t="s">
        <v>185</v>
      </c>
      <c r="BM97">
        <v>0</v>
      </c>
      <c r="BN97">
        <v>0</v>
      </c>
      <c r="BO97" t="s">
        <v>3</v>
      </c>
      <c r="BP97">
        <v>0</v>
      </c>
      <c r="BQ97">
        <v>1</v>
      </c>
      <c r="BR97">
        <v>0</v>
      </c>
      <c r="BS97">
        <v>1</v>
      </c>
      <c r="BT97">
        <v>1</v>
      </c>
      <c r="BU97">
        <v>1</v>
      </c>
      <c r="BV97">
        <v>1</v>
      </c>
      <c r="BW97">
        <v>1</v>
      </c>
      <c r="BX97">
        <v>1</v>
      </c>
      <c r="BY97" t="s">
        <v>3</v>
      </c>
      <c r="BZ97">
        <v>70</v>
      </c>
      <c r="CA97">
        <v>10</v>
      </c>
      <c r="CB97" t="s">
        <v>3</v>
      </c>
      <c r="CE97">
        <v>0</v>
      </c>
      <c r="CF97">
        <v>0</v>
      </c>
      <c r="CG97">
        <v>0</v>
      </c>
      <c r="CM97">
        <v>0</v>
      </c>
      <c r="CN97" t="s">
        <v>3</v>
      </c>
      <c r="CO97">
        <v>0</v>
      </c>
      <c r="CP97">
        <f t="shared" si="85"/>
        <v>706271.49</v>
      </c>
      <c r="CQ97">
        <f t="shared" si="86"/>
        <v>3.91</v>
      </c>
      <c r="CR97">
        <f>((((ET97)*BB97-(EU97)*BS97)+AE97*BS97)*AV97)</f>
        <v>0</v>
      </c>
      <c r="CS97">
        <f t="shared" si="87"/>
        <v>0</v>
      </c>
      <c r="CT97">
        <f t="shared" si="88"/>
        <v>446325.39</v>
      </c>
      <c r="CU97">
        <f t="shared" si="89"/>
        <v>0</v>
      </c>
      <c r="CV97">
        <f t="shared" si="90"/>
        <v>984.95999999999992</v>
      </c>
      <c r="CW97">
        <f t="shared" si="91"/>
        <v>0</v>
      </c>
      <c r="CX97">
        <f t="shared" si="92"/>
        <v>0</v>
      </c>
      <c r="CY97">
        <f t="shared" si="93"/>
        <v>494385.71</v>
      </c>
      <c r="CZ97">
        <f t="shared" si="94"/>
        <v>70626.53</v>
      </c>
      <c r="DC97" t="s">
        <v>3</v>
      </c>
      <c r="DD97" t="s">
        <v>3</v>
      </c>
      <c r="DE97" t="s">
        <v>3</v>
      </c>
      <c r="DF97" t="s">
        <v>3</v>
      </c>
      <c r="DG97" t="s">
        <v>161</v>
      </c>
      <c r="DH97" t="s">
        <v>3</v>
      </c>
      <c r="DI97" t="s">
        <v>161</v>
      </c>
      <c r="DJ97" t="s">
        <v>3</v>
      </c>
      <c r="DK97" t="s">
        <v>3</v>
      </c>
      <c r="DL97" t="s">
        <v>3</v>
      </c>
      <c r="DM97" t="s">
        <v>3</v>
      </c>
      <c r="DN97">
        <v>0</v>
      </c>
      <c r="DO97">
        <v>0</v>
      </c>
      <c r="DP97">
        <v>1</v>
      </c>
      <c r="DQ97">
        <v>1</v>
      </c>
      <c r="DU97">
        <v>1005</v>
      </c>
      <c r="DV97" t="s">
        <v>29</v>
      </c>
      <c r="DW97" t="s">
        <v>29</v>
      </c>
      <c r="DX97">
        <v>100</v>
      </c>
      <c r="DZ97" t="s">
        <v>3</v>
      </c>
      <c r="EA97" t="s">
        <v>3</v>
      </c>
      <c r="EB97" t="s">
        <v>3</v>
      </c>
      <c r="EC97" t="s">
        <v>3</v>
      </c>
      <c r="EE97">
        <v>80196140</v>
      </c>
      <c r="EF97">
        <v>1</v>
      </c>
      <c r="EG97" t="s">
        <v>23</v>
      </c>
      <c r="EH97">
        <v>0</v>
      </c>
      <c r="EI97" t="s">
        <v>3</v>
      </c>
      <c r="EJ97">
        <v>4</v>
      </c>
      <c r="EK97">
        <v>0</v>
      </c>
      <c r="EL97" t="s">
        <v>24</v>
      </c>
      <c r="EM97" t="s">
        <v>25</v>
      </c>
      <c r="EO97" t="s">
        <v>3</v>
      </c>
      <c r="EQ97">
        <v>1024</v>
      </c>
      <c r="ER97">
        <v>2614</v>
      </c>
      <c r="ES97">
        <v>3.91</v>
      </c>
      <c r="ET97">
        <v>0</v>
      </c>
      <c r="EU97">
        <v>0</v>
      </c>
      <c r="EV97">
        <v>2610.09</v>
      </c>
      <c r="EW97">
        <v>5.76</v>
      </c>
      <c r="EX97">
        <v>0</v>
      </c>
      <c r="EY97">
        <v>0</v>
      </c>
      <c r="FQ97">
        <v>0</v>
      </c>
      <c r="FR97">
        <v>0</v>
      </c>
      <c r="FS97">
        <v>0</v>
      </c>
      <c r="FX97">
        <v>70</v>
      </c>
      <c r="FY97">
        <v>10</v>
      </c>
      <c r="GA97" t="s">
        <v>3</v>
      </c>
      <c r="GD97">
        <v>0</v>
      </c>
      <c r="GF97">
        <v>2142942732</v>
      </c>
      <c r="GG97">
        <v>2</v>
      </c>
      <c r="GH97">
        <v>1</v>
      </c>
      <c r="GI97">
        <v>-2</v>
      </c>
      <c r="GJ97">
        <v>0</v>
      </c>
      <c r="GK97">
        <f>ROUND(R97*(R12)/100,2)</f>
        <v>0</v>
      </c>
      <c r="GL97">
        <f t="shared" si="95"/>
        <v>0</v>
      </c>
      <c r="GM97">
        <f t="shared" si="96"/>
        <v>1271283.73</v>
      </c>
      <c r="GN97">
        <f t="shared" si="97"/>
        <v>0</v>
      </c>
      <c r="GO97">
        <f t="shared" si="98"/>
        <v>0</v>
      </c>
      <c r="GP97">
        <f t="shared" si="99"/>
        <v>1271283.73</v>
      </c>
      <c r="GR97">
        <v>0</v>
      </c>
      <c r="GS97">
        <v>3</v>
      </c>
      <c r="GT97">
        <v>0</v>
      </c>
      <c r="GU97" t="s">
        <v>3</v>
      </c>
      <c r="GV97">
        <f t="shared" si="100"/>
        <v>0</v>
      </c>
      <c r="GW97">
        <v>1</v>
      </c>
      <c r="GX97">
        <f t="shared" si="101"/>
        <v>0</v>
      </c>
      <c r="HA97">
        <v>0</v>
      </c>
      <c r="HB97">
        <v>0</v>
      </c>
      <c r="HC97">
        <f t="shared" si="102"/>
        <v>0</v>
      </c>
      <c r="HE97" t="s">
        <v>3</v>
      </c>
      <c r="HF97" t="s">
        <v>3</v>
      </c>
      <c r="HM97" t="s">
        <v>3</v>
      </c>
      <c r="HN97" t="s">
        <v>3</v>
      </c>
      <c r="HO97" t="s">
        <v>3</v>
      </c>
      <c r="HP97" t="s">
        <v>3</v>
      </c>
      <c r="HQ97" t="s">
        <v>3</v>
      </c>
      <c r="HS97">
        <v>0</v>
      </c>
      <c r="IK97">
        <v>0</v>
      </c>
    </row>
    <row r="98" spans="1:245" x14ac:dyDescent="0.25">
      <c r="A98">
        <v>18</v>
      </c>
      <c r="B98">
        <v>1</v>
      </c>
      <c r="C98">
        <v>43</v>
      </c>
      <c r="E98" t="s">
        <v>3</v>
      </c>
      <c r="F98" t="s">
        <v>37</v>
      </c>
      <c r="G98" t="s">
        <v>38</v>
      </c>
      <c r="H98" t="s">
        <v>39</v>
      </c>
      <c r="I98">
        <f>I97*J98</f>
        <v>-3.1648000000000003E-2</v>
      </c>
      <c r="J98">
        <v>-0.02</v>
      </c>
      <c r="K98">
        <v>-0.02</v>
      </c>
      <c r="O98">
        <f t="shared" si="71"/>
        <v>-1.73</v>
      </c>
      <c r="P98">
        <f t="shared" si="72"/>
        <v>-1.73</v>
      </c>
      <c r="Q98">
        <f t="shared" si="73"/>
        <v>0</v>
      </c>
      <c r="R98">
        <f t="shared" si="74"/>
        <v>0</v>
      </c>
      <c r="S98">
        <f t="shared" si="75"/>
        <v>0</v>
      </c>
      <c r="T98">
        <f t="shared" si="76"/>
        <v>0</v>
      </c>
      <c r="U98">
        <f t="shared" si="77"/>
        <v>0</v>
      </c>
      <c r="V98">
        <f t="shared" si="78"/>
        <v>0</v>
      </c>
      <c r="W98">
        <f t="shared" si="79"/>
        <v>0</v>
      </c>
      <c r="X98">
        <f t="shared" si="80"/>
        <v>0</v>
      </c>
      <c r="Y98">
        <f t="shared" si="81"/>
        <v>0</v>
      </c>
      <c r="AA98">
        <v>-1</v>
      </c>
      <c r="AB98">
        <f t="shared" si="82"/>
        <v>54.81</v>
      </c>
      <c r="AC98">
        <f>ROUND((ES98),6)</f>
        <v>54.81</v>
      </c>
      <c r="AD98">
        <f>ROUND((((ET98)-(EU98))+AE98),6)</f>
        <v>0</v>
      </c>
      <c r="AE98">
        <f>ROUND((EU98),6)</f>
        <v>0</v>
      </c>
      <c r="AF98">
        <f>ROUND((EV98),6)</f>
        <v>0</v>
      </c>
      <c r="AG98">
        <f t="shared" si="83"/>
        <v>0</v>
      </c>
      <c r="AH98">
        <f>(EW98)</f>
        <v>0</v>
      </c>
      <c r="AI98">
        <f>(EX98)</f>
        <v>0</v>
      </c>
      <c r="AJ98">
        <f t="shared" si="84"/>
        <v>0</v>
      </c>
      <c r="AK98">
        <v>54.81</v>
      </c>
      <c r="AL98">
        <v>54.81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70</v>
      </c>
      <c r="AU98">
        <v>10</v>
      </c>
      <c r="AV98">
        <v>1</v>
      </c>
      <c r="AW98">
        <v>1</v>
      </c>
      <c r="AZ98">
        <v>1</v>
      </c>
      <c r="BA98">
        <v>1</v>
      </c>
      <c r="BB98">
        <v>1</v>
      </c>
      <c r="BC98">
        <v>1</v>
      </c>
      <c r="BD98" t="s">
        <v>3</v>
      </c>
      <c r="BE98" t="s">
        <v>3</v>
      </c>
      <c r="BF98" t="s">
        <v>3</v>
      </c>
      <c r="BG98" t="s">
        <v>3</v>
      </c>
      <c r="BH98">
        <v>3</v>
      </c>
      <c r="BI98">
        <v>4</v>
      </c>
      <c r="BJ98" t="s">
        <v>40</v>
      </c>
      <c r="BM98">
        <v>0</v>
      </c>
      <c r="BN98">
        <v>0</v>
      </c>
      <c r="BO98" t="s">
        <v>3</v>
      </c>
      <c r="BP98">
        <v>0</v>
      </c>
      <c r="BQ98">
        <v>1</v>
      </c>
      <c r="BR98">
        <v>1</v>
      </c>
      <c r="BS98">
        <v>1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3</v>
      </c>
      <c r="BZ98">
        <v>70</v>
      </c>
      <c r="CA98">
        <v>10</v>
      </c>
      <c r="CB98" t="s">
        <v>3</v>
      </c>
      <c r="CE98">
        <v>0</v>
      </c>
      <c r="CF98">
        <v>0</v>
      </c>
      <c r="CG98">
        <v>0</v>
      </c>
      <c r="CM98">
        <v>0</v>
      </c>
      <c r="CN98" t="s">
        <v>3</v>
      </c>
      <c r="CO98">
        <v>0</v>
      </c>
      <c r="CP98">
        <f t="shared" si="85"/>
        <v>-1.73</v>
      </c>
      <c r="CQ98">
        <f t="shared" si="86"/>
        <v>54.81</v>
      </c>
      <c r="CR98">
        <f>((((ET98)*BB98-(EU98)*BS98)+AE98*BS98)*AV98)</f>
        <v>0</v>
      </c>
      <c r="CS98">
        <f t="shared" si="87"/>
        <v>0</v>
      </c>
      <c r="CT98">
        <f t="shared" si="88"/>
        <v>0</v>
      </c>
      <c r="CU98">
        <f t="shared" si="89"/>
        <v>0</v>
      </c>
      <c r="CV98">
        <f t="shared" si="90"/>
        <v>0</v>
      </c>
      <c r="CW98">
        <f t="shared" si="91"/>
        <v>0</v>
      </c>
      <c r="CX98">
        <f t="shared" si="92"/>
        <v>0</v>
      </c>
      <c r="CY98">
        <f t="shared" si="93"/>
        <v>0</v>
      </c>
      <c r="CZ98">
        <f t="shared" si="94"/>
        <v>0</v>
      </c>
      <c r="DC98" t="s">
        <v>3</v>
      </c>
      <c r="DD98" t="s">
        <v>3</v>
      </c>
      <c r="DE98" t="s">
        <v>3</v>
      </c>
      <c r="DF98" t="s">
        <v>3</v>
      </c>
      <c r="DG98" t="s">
        <v>3</v>
      </c>
      <c r="DH98" t="s">
        <v>3</v>
      </c>
      <c r="DI98" t="s">
        <v>3</v>
      </c>
      <c r="DJ98" t="s">
        <v>3</v>
      </c>
      <c r="DK98" t="s">
        <v>3</v>
      </c>
      <c r="DL98" t="s">
        <v>3</v>
      </c>
      <c r="DM98" t="s">
        <v>3</v>
      </c>
      <c r="DN98">
        <v>0</v>
      </c>
      <c r="DO98">
        <v>0</v>
      </c>
      <c r="DP98">
        <v>1</v>
      </c>
      <c r="DQ98">
        <v>1</v>
      </c>
      <c r="DU98">
        <v>1007</v>
      </c>
      <c r="DV98" t="s">
        <v>39</v>
      </c>
      <c r="DW98" t="s">
        <v>39</v>
      </c>
      <c r="DX98">
        <v>1</v>
      </c>
      <c r="DZ98" t="s">
        <v>3</v>
      </c>
      <c r="EA98" t="s">
        <v>3</v>
      </c>
      <c r="EB98" t="s">
        <v>3</v>
      </c>
      <c r="EC98" t="s">
        <v>3</v>
      </c>
      <c r="EE98">
        <v>80196140</v>
      </c>
      <c r="EF98">
        <v>1</v>
      </c>
      <c r="EG98" t="s">
        <v>23</v>
      </c>
      <c r="EH98">
        <v>0</v>
      </c>
      <c r="EI98" t="s">
        <v>3</v>
      </c>
      <c r="EJ98">
        <v>4</v>
      </c>
      <c r="EK98">
        <v>0</v>
      </c>
      <c r="EL98" t="s">
        <v>24</v>
      </c>
      <c r="EM98" t="s">
        <v>25</v>
      </c>
      <c r="EO98" t="s">
        <v>3</v>
      </c>
      <c r="EQ98">
        <v>1024</v>
      </c>
      <c r="ER98">
        <v>54.81</v>
      </c>
      <c r="ES98">
        <v>54.81</v>
      </c>
      <c r="ET98">
        <v>0</v>
      </c>
      <c r="EU98">
        <v>0</v>
      </c>
      <c r="EV98">
        <v>0</v>
      </c>
      <c r="EW98">
        <v>0</v>
      </c>
      <c r="EX98">
        <v>0</v>
      </c>
      <c r="FQ98">
        <v>0</v>
      </c>
      <c r="FR98">
        <v>0</v>
      </c>
      <c r="FS98">
        <v>0</v>
      </c>
      <c r="FX98">
        <v>70</v>
      </c>
      <c r="FY98">
        <v>10</v>
      </c>
      <c r="GA98" t="s">
        <v>3</v>
      </c>
      <c r="GD98">
        <v>0</v>
      </c>
      <c r="GF98">
        <v>2112060389</v>
      </c>
      <c r="GG98">
        <v>2</v>
      </c>
      <c r="GH98">
        <v>1</v>
      </c>
      <c r="GI98">
        <v>-2</v>
      </c>
      <c r="GJ98">
        <v>0</v>
      </c>
      <c r="GK98">
        <f>ROUND(R98*(R12)/100,2)</f>
        <v>0</v>
      </c>
      <c r="GL98">
        <f t="shared" si="95"/>
        <v>0</v>
      </c>
      <c r="GM98">
        <f t="shared" si="96"/>
        <v>-1.73</v>
      </c>
      <c r="GN98">
        <f t="shared" si="97"/>
        <v>0</v>
      </c>
      <c r="GO98">
        <f t="shared" si="98"/>
        <v>0</v>
      </c>
      <c r="GP98">
        <f t="shared" si="99"/>
        <v>-1.73</v>
      </c>
      <c r="GR98">
        <v>0</v>
      </c>
      <c r="GS98">
        <v>3</v>
      </c>
      <c r="GT98">
        <v>0</v>
      </c>
      <c r="GU98" t="s">
        <v>3</v>
      </c>
      <c r="GV98">
        <f t="shared" si="100"/>
        <v>0</v>
      </c>
      <c r="GW98">
        <v>1</v>
      </c>
      <c r="GX98">
        <f t="shared" si="101"/>
        <v>0</v>
      </c>
      <c r="HA98">
        <v>0</v>
      </c>
      <c r="HB98">
        <v>0</v>
      </c>
      <c r="HC98">
        <f t="shared" si="102"/>
        <v>0</v>
      </c>
      <c r="HE98" t="s">
        <v>3</v>
      </c>
      <c r="HF98" t="s">
        <v>3</v>
      </c>
      <c r="HM98" t="s">
        <v>3</v>
      </c>
      <c r="HN98" t="s">
        <v>3</v>
      </c>
      <c r="HO98" t="s">
        <v>3</v>
      </c>
      <c r="HP98" t="s">
        <v>3</v>
      </c>
      <c r="HQ98" t="s">
        <v>3</v>
      </c>
      <c r="HS98">
        <v>0</v>
      </c>
      <c r="IK98">
        <v>0</v>
      </c>
    </row>
    <row r="99" spans="1:245" x14ac:dyDescent="0.25">
      <c r="A99">
        <v>17</v>
      </c>
      <c r="B99">
        <v>1</v>
      </c>
      <c r="C99">
        <f>ROW(SmtRes!A45)</f>
        <v>45</v>
      </c>
      <c r="D99">
        <f>ROW(EtalonRes!A45)</f>
        <v>45</v>
      </c>
      <c r="E99" t="s">
        <v>186</v>
      </c>
      <c r="F99" t="s">
        <v>86</v>
      </c>
      <c r="G99" t="s">
        <v>87</v>
      </c>
      <c r="H99" t="s">
        <v>88</v>
      </c>
      <c r="I99">
        <f>ROUND(127/100,9)</f>
        <v>1.27</v>
      </c>
      <c r="J99">
        <v>0</v>
      </c>
      <c r="K99">
        <f>ROUND(127/100,9)</f>
        <v>1.27</v>
      </c>
      <c r="O99">
        <f t="shared" si="71"/>
        <v>322929.28000000003</v>
      </c>
      <c r="P99">
        <f t="shared" si="72"/>
        <v>64960.5</v>
      </c>
      <c r="Q99">
        <f t="shared" si="73"/>
        <v>0</v>
      </c>
      <c r="R99">
        <f t="shared" si="74"/>
        <v>0</v>
      </c>
      <c r="S99">
        <f t="shared" si="75"/>
        <v>257968.78</v>
      </c>
      <c r="T99">
        <f t="shared" si="76"/>
        <v>0</v>
      </c>
      <c r="U99">
        <f t="shared" si="77"/>
        <v>569.29020000000003</v>
      </c>
      <c r="V99">
        <f t="shared" si="78"/>
        <v>0</v>
      </c>
      <c r="W99">
        <f t="shared" si="79"/>
        <v>0</v>
      </c>
      <c r="X99">
        <f t="shared" si="80"/>
        <v>180578.15</v>
      </c>
      <c r="Y99">
        <f t="shared" si="81"/>
        <v>25796.880000000001</v>
      </c>
      <c r="AA99">
        <v>80889732</v>
      </c>
      <c r="AB99">
        <f t="shared" si="82"/>
        <v>254275.02</v>
      </c>
      <c r="AC99">
        <f>ROUND(((ES99*186)),6)</f>
        <v>51150</v>
      </c>
      <c r="AD99">
        <f>ROUND(((((ET99*186))-((EU99*186)))+AE99),6)</f>
        <v>0</v>
      </c>
      <c r="AE99">
        <f>ROUND(((EU99*186)),6)</f>
        <v>0</v>
      </c>
      <c r="AF99">
        <f>ROUND(((EV99*186)),6)</f>
        <v>203125.02</v>
      </c>
      <c r="AG99">
        <f t="shared" si="83"/>
        <v>0</v>
      </c>
      <c r="AH99">
        <f>((EW99*186))</f>
        <v>448.26000000000005</v>
      </c>
      <c r="AI99">
        <f>((EX99*186))</f>
        <v>0</v>
      </c>
      <c r="AJ99">
        <f t="shared" si="84"/>
        <v>0</v>
      </c>
      <c r="AK99">
        <v>1367.07</v>
      </c>
      <c r="AL99">
        <v>275</v>
      </c>
      <c r="AM99">
        <v>0</v>
      </c>
      <c r="AN99">
        <v>0</v>
      </c>
      <c r="AO99">
        <v>1092.07</v>
      </c>
      <c r="AP99">
        <v>0</v>
      </c>
      <c r="AQ99">
        <v>2.41</v>
      </c>
      <c r="AR99">
        <v>0</v>
      </c>
      <c r="AS99">
        <v>0</v>
      </c>
      <c r="AT99">
        <v>70</v>
      </c>
      <c r="AU99">
        <v>10</v>
      </c>
      <c r="AV99">
        <v>1</v>
      </c>
      <c r="AW99">
        <v>1</v>
      </c>
      <c r="AZ99">
        <v>1</v>
      </c>
      <c r="BA99">
        <v>1</v>
      </c>
      <c r="BB99">
        <v>1</v>
      </c>
      <c r="BC99">
        <v>1</v>
      </c>
      <c r="BD99" t="s">
        <v>3</v>
      </c>
      <c r="BE99" t="s">
        <v>3</v>
      </c>
      <c r="BF99" t="s">
        <v>3</v>
      </c>
      <c r="BG99" t="s">
        <v>3</v>
      </c>
      <c r="BH99">
        <v>0</v>
      </c>
      <c r="BI99">
        <v>4</v>
      </c>
      <c r="BJ99" t="s">
        <v>89</v>
      </c>
      <c r="BM99">
        <v>0</v>
      </c>
      <c r="BN99">
        <v>0</v>
      </c>
      <c r="BO99" t="s">
        <v>3</v>
      </c>
      <c r="BP99">
        <v>0</v>
      </c>
      <c r="BQ99">
        <v>1</v>
      </c>
      <c r="BR99">
        <v>0</v>
      </c>
      <c r="BS99">
        <v>1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3</v>
      </c>
      <c r="BZ99">
        <v>70</v>
      </c>
      <c r="CA99">
        <v>10</v>
      </c>
      <c r="CB99" t="s">
        <v>3</v>
      </c>
      <c r="CE99">
        <v>0</v>
      </c>
      <c r="CF99">
        <v>0</v>
      </c>
      <c r="CG99">
        <v>0</v>
      </c>
      <c r="CM99">
        <v>0</v>
      </c>
      <c r="CN99" t="s">
        <v>3</v>
      </c>
      <c r="CO99">
        <v>0</v>
      </c>
      <c r="CP99">
        <f t="shared" si="85"/>
        <v>322929.28000000003</v>
      </c>
      <c r="CQ99">
        <f t="shared" si="86"/>
        <v>51150</v>
      </c>
      <c r="CR99">
        <f>(((((ET99*186))*BB99-((EU99*186))*BS99)+AE99*BS99)*AV99)</f>
        <v>0</v>
      </c>
      <c r="CS99">
        <f t="shared" si="87"/>
        <v>0</v>
      </c>
      <c r="CT99">
        <f t="shared" si="88"/>
        <v>203125.02</v>
      </c>
      <c r="CU99">
        <f t="shared" si="89"/>
        <v>0</v>
      </c>
      <c r="CV99">
        <f t="shared" si="90"/>
        <v>448.26000000000005</v>
      </c>
      <c r="CW99">
        <f t="shared" si="91"/>
        <v>0</v>
      </c>
      <c r="CX99">
        <f t="shared" si="92"/>
        <v>0</v>
      </c>
      <c r="CY99">
        <f t="shared" si="93"/>
        <v>180578.14600000001</v>
      </c>
      <c r="CZ99">
        <f t="shared" si="94"/>
        <v>25796.877999999997</v>
      </c>
      <c r="DC99" t="s">
        <v>3</v>
      </c>
      <c r="DD99" t="s">
        <v>187</v>
      </c>
      <c r="DE99" t="s">
        <v>187</v>
      </c>
      <c r="DF99" t="s">
        <v>187</v>
      </c>
      <c r="DG99" t="s">
        <v>187</v>
      </c>
      <c r="DH99" t="s">
        <v>3</v>
      </c>
      <c r="DI99" t="s">
        <v>187</v>
      </c>
      <c r="DJ99" t="s">
        <v>187</v>
      </c>
      <c r="DK99" t="s">
        <v>3</v>
      </c>
      <c r="DL99" t="s">
        <v>3</v>
      </c>
      <c r="DM99" t="s">
        <v>3</v>
      </c>
      <c r="DN99">
        <v>0</v>
      </c>
      <c r="DO99">
        <v>0</v>
      </c>
      <c r="DP99">
        <v>1</v>
      </c>
      <c r="DQ99">
        <v>1</v>
      </c>
      <c r="DU99">
        <v>1010</v>
      </c>
      <c r="DV99" t="s">
        <v>88</v>
      </c>
      <c r="DW99" t="s">
        <v>88</v>
      </c>
      <c r="DX99">
        <v>100</v>
      </c>
      <c r="DZ99" t="s">
        <v>3</v>
      </c>
      <c r="EA99" t="s">
        <v>3</v>
      </c>
      <c r="EB99" t="s">
        <v>3</v>
      </c>
      <c r="EC99" t="s">
        <v>3</v>
      </c>
      <c r="EE99">
        <v>80196140</v>
      </c>
      <c r="EF99">
        <v>1</v>
      </c>
      <c r="EG99" t="s">
        <v>23</v>
      </c>
      <c r="EH99">
        <v>0</v>
      </c>
      <c r="EI99" t="s">
        <v>3</v>
      </c>
      <c r="EJ99">
        <v>4</v>
      </c>
      <c r="EK99">
        <v>0</v>
      </c>
      <c r="EL99" t="s">
        <v>24</v>
      </c>
      <c r="EM99" t="s">
        <v>25</v>
      </c>
      <c r="EO99" t="s">
        <v>3</v>
      </c>
      <c r="EQ99">
        <v>0</v>
      </c>
      <c r="ER99">
        <v>1367.07</v>
      </c>
      <c r="ES99">
        <v>275</v>
      </c>
      <c r="ET99">
        <v>0</v>
      </c>
      <c r="EU99">
        <v>0</v>
      </c>
      <c r="EV99">
        <v>1092.07</v>
      </c>
      <c r="EW99">
        <v>2.41</v>
      </c>
      <c r="EX99">
        <v>0</v>
      </c>
      <c r="EY99">
        <v>0</v>
      </c>
      <c r="FQ99">
        <v>0</v>
      </c>
      <c r="FR99">
        <v>0</v>
      </c>
      <c r="FS99">
        <v>0</v>
      </c>
      <c r="FX99">
        <v>70</v>
      </c>
      <c r="FY99">
        <v>10</v>
      </c>
      <c r="GA99" t="s">
        <v>3</v>
      </c>
      <c r="GD99">
        <v>0</v>
      </c>
      <c r="GF99">
        <v>1968377727</v>
      </c>
      <c r="GG99">
        <v>2</v>
      </c>
      <c r="GH99">
        <v>1</v>
      </c>
      <c r="GI99">
        <v>-2</v>
      </c>
      <c r="GJ99">
        <v>0</v>
      </c>
      <c r="GK99">
        <f>ROUND(R99*(R12)/100,2)</f>
        <v>0</v>
      </c>
      <c r="GL99">
        <f t="shared" si="95"/>
        <v>0</v>
      </c>
      <c r="GM99">
        <f t="shared" si="96"/>
        <v>529304.31000000006</v>
      </c>
      <c r="GN99">
        <f t="shared" si="97"/>
        <v>0</v>
      </c>
      <c r="GO99">
        <f t="shared" si="98"/>
        <v>0</v>
      </c>
      <c r="GP99">
        <f t="shared" si="99"/>
        <v>529304.31000000006</v>
      </c>
      <c r="GR99">
        <v>0</v>
      </c>
      <c r="GS99">
        <v>3</v>
      </c>
      <c r="GT99">
        <v>0</v>
      </c>
      <c r="GU99" t="s">
        <v>3</v>
      </c>
      <c r="GV99">
        <f t="shared" si="100"/>
        <v>0</v>
      </c>
      <c r="GW99">
        <v>1</v>
      </c>
      <c r="GX99">
        <f t="shared" si="101"/>
        <v>0</v>
      </c>
      <c r="HA99">
        <v>0</v>
      </c>
      <c r="HB99">
        <v>0</v>
      </c>
      <c r="HC99">
        <f t="shared" si="102"/>
        <v>0</v>
      </c>
      <c r="HE99" t="s">
        <v>3</v>
      </c>
      <c r="HF99" t="s">
        <v>3</v>
      </c>
      <c r="HM99" t="s">
        <v>3</v>
      </c>
      <c r="HN99" t="s">
        <v>3</v>
      </c>
      <c r="HO99" t="s">
        <v>3</v>
      </c>
      <c r="HP99" t="s">
        <v>3</v>
      </c>
      <c r="HQ99" t="s">
        <v>3</v>
      </c>
      <c r="HS99">
        <v>0</v>
      </c>
      <c r="IK99">
        <v>0</v>
      </c>
    </row>
    <row r="100" spans="1:245" x14ac:dyDescent="0.25">
      <c r="A100">
        <v>17</v>
      </c>
      <c r="B100">
        <v>1</v>
      </c>
      <c r="C100">
        <f>ROW(SmtRes!A49)</f>
        <v>49</v>
      </c>
      <c r="D100">
        <f>ROW(EtalonRes!A49)</f>
        <v>49</v>
      </c>
      <c r="E100" t="s">
        <v>188</v>
      </c>
      <c r="F100" t="s">
        <v>92</v>
      </c>
      <c r="G100" t="s">
        <v>93</v>
      </c>
      <c r="H100" t="s">
        <v>88</v>
      </c>
      <c r="I100">
        <f>ROUND(127/100,9)</f>
        <v>1.27</v>
      </c>
      <c r="J100">
        <v>0</v>
      </c>
      <c r="K100">
        <f>ROUND(127/100,9)</f>
        <v>1.27</v>
      </c>
      <c r="O100">
        <f t="shared" si="71"/>
        <v>189290.95</v>
      </c>
      <c r="P100">
        <f t="shared" si="72"/>
        <v>93903.76</v>
      </c>
      <c r="Q100">
        <f t="shared" si="73"/>
        <v>0</v>
      </c>
      <c r="R100">
        <f t="shared" si="74"/>
        <v>0</v>
      </c>
      <c r="S100">
        <f t="shared" si="75"/>
        <v>95387.19</v>
      </c>
      <c r="T100">
        <f t="shared" si="76"/>
        <v>0</v>
      </c>
      <c r="U100">
        <f t="shared" si="77"/>
        <v>210.5025</v>
      </c>
      <c r="V100">
        <f t="shared" si="78"/>
        <v>0</v>
      </c>
      <c r="W100">
        <f t="shared" si="79"/>
        <v>0</v>
      </c>
      <c r="X100">
        <f t="shared" si="80"/>
        <v>66771.03</v>
      </c>
      <c r="Y100">
        <f t="shared" si="81"/>
        <v>9538.7199999999993</v>
      </c>
      <c r="AA100">
        <v>80889732</v>
      </c>
      <c r="AB100">
        <f t="shared" si="82"/>
        <v>149047.99</v>
      </c>
      <c r="AC100">
        <f>ROUND(((ES100*13)),6)</f>
        <v>73939.97</v>
      </c>
      <c r="AD100">
        <f>ROUND(((((ET100*13))-((EU100*13)))+AE100),6)</f>
        <v>0</v>
      </c>
      <c r="AE100">
        <f>ROUND(((EU100*13)),6)</f>
        <v>0</v>
      </c>
      <c r="AF100">
        <f>ROUND(((EV100*13)),6)</f>
        <v>75108.02</v>
      </c>
      <c r="AG100">
        <f t="shared" si="83"/>
        <v>0</v>
      </c>
      <c r="AH100">
        <f>((EW100*13))</f>
        <v>165.75</v>
      </c>
      <c r="AI100">
        <f>((EX100*13))</f>
        <v>0</v>
      </c>
      <c r="AJ100">
        <f t="shared" si="84"/>
        <v>0</v>
      </c>
      <c r="AK100">
        <v>11465.23</v>
      </c>
      <c r="AL100">
        <v>5687.69</v>
      </c>
      <c r="AM100">
        <v>0</v>
      </c>
      <c r="AN100">
        <v>0</v>
      </c>
      <c r="AO100">
        <v>5777.54</v>
      </c>
      <c r="AP100">
        <v>0</v>
      </c>
      <c r="AQ100">
        <v>12.75</v>
      </c>
      <c r="AR100">
        <v>0</v>
      </c>
      <c r="AS100">
        <v>0</v>
      </c>
      <c r="AT100">
        <v>70</v>
      </c>
      <c r="AU100">
        <v>10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1</v>
      </c>
      <c r="BD100" t="s">
        <v>3</v>
      </c>
      <c r="BE100" t="s">
        <v>3</v>
      </c>
      <c r="BF100" t="s">
        <v>3</v>
      </c>
      <c r="BG100" t="s">
        <v>3</v>
      </c>
      <c r="BH100">
        <v>0</v>
      </c>
      <c r="BI100">
        <v>4</v>
      </c>
      <c r="BJ100" t="s">
        <v>94</v>
      </c>
      <c r="BM100">
        <v>0</v>
      </c>
      <c r="BN100">
        <v>0</v>
      </c>
      <c r="BO100" t="s">
        <v>3</v>
      </c>
      <c r="BP100">
        <v>0</v>
      </c>
      <c r="BQ100">
        <v>1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70</v>
      </c>
      <c r="CA100">
        <v>10</v>
      </c>
      <c r="CB100" t="s">
        <v>3</v>
      </c>
      <c r="CE100">
        <v>0</v>
      </c>
      <c r="CF100">
        <v>0</v>
      </c>
      <c r="CG100">
        <v>0</v>
      </c>
      <c r="CM100">
        <v>0</v>
      </c>
      <c r="CN100" t="s">
        <v>3</v>
      </c>
      <c r="CO100">
        <v>0</v>
      </c>
      <c r="CP100">
        <f t="shared" si="85"/>
        <v>189290.95</v>
      </c>
      <c r="CQ100">
        <f t="shared" si="86"/>
        <v>73939.97</v>
      </c>
      <c r="CR100">
        <f>(((((ET100*13))*BB100-((EU100*13))*BS100)+AE100*BS100)*AV100)</f>
        <v>0</v>
      </c>
      <c r="CS100">
        <f t="shared" si="87"/>
        <v>0</v>
      </c>
      <c r="CT100">
        <f t="shared" si="88"/>
        <v>75108.02</v>
      </c>
      <c r="CU100">
        <f t="shared" si="89"/>
        <v>0</v>
      </c>
      <c r="CV100">
        <f t="shared" si="90"/>
        <v>165.75</v>
      </c>
      <c r="CW100">
        <f t="shared" si="91"/>
        <v>0</v>
      </c>
      <c r="CX100">
        <f t="shared" si="92"/>
        <v>0</v>
      </c>
      <c r="CY100">
        <f t="shared" si="93"/>
        <v>66771.032999999996</v>
      </c>
      <c r="CZ100">
        <f t="shared" si="94"/>
        <v>9538.719000000001</v>
      </c>
      <c r="DC100" t="s">
        <v>3</v>
      </c>
      <c r="DD100" t="s">
        <v>189</v>
      </c>
      <c r="DE100" t="s">
        <v>189</v>
      </c>
      <c r="DF100" t="s">
        <v>189</v>
      </c>
      <c r="DG100" t="s">
        <v>189</v>
      </c>
      <c r="DH100" t="s">
        <v>3</v>
      </c>
      <c r="DI100" t="s">
        <v>189</v>
      </c>
      <c r="DJ100" t="s">
        <v>189</v>
      </c>
      <c r="DK100" t="s">
        <v>3</v>
      </c>
      <c r="DL100" t="s">
        <v>3</v>
      </c>
      <c r="DM100" t="s">
        <v>3</v>
      </c>
      <c r="DN100">
        <v>0</v>
      </c>
      <c r="DO100">
        <v>0</v>
      </c>
      <c r="DP100">
        <v>1</v>
      </c>
      <c r="DQ100">
        <v>1</v>
      </c>
      <c r="DU100">
        <v>1010</v>
      </c>
      <c r="DV100" t="s">
        <v>88</v>
      </c>
      <c r="DW100" t="s">
        <v>88</v>
      </c>
      <c r="DX100">
        <v>100</v>
      </c>
      <c r="DZ100" t="s">
        <v>3</v>
      </c>
      <c r="EA100" t="s">
        <v>3</v>
      </c>
      <c r="EB100" t="s">
        <v>3</v>
      </c>
      <c r="EC100" t="s">
        <v>3</v>
      </c>
      <c r="EE100">
        <v>80196140</v>
      </c>
      <c r="EF100">
        <v>1</v>
      </c>
      <c r="EG100" t="s">
        <v>23</v>
      </c>
      <c r="EH100">
        <v>0</v>
      </c>
      <c r="EI100" t="s">
        <v>3</v>
      </c>
      <c r="EJ100">
        <v>4</v>
      </c>
      <c r="EK100">
        <v>0</v>
      </c>
      <c r="EL100" t="s">
        <v>24</v>
      </c>
      <c r="EM100" t="s">
        <v>25</v>
      </c>
      <c r="EO100" t="s">
        <v>3</v>
      </c>
      <c r="EQ100">
        <v>0</v>
      </c>
      <c r="ER100">
        <v>11465.23</v>
      </c>
      <c r="ES100">
        <v>5687.69</v>
      </c>
      <c r="ET100">
        <v>0</v>
      </c>
      <c r="EU100">
        <v>0</v>
      </c>
      <c r="EV100">
        <v>5777.54</v>
      </c>
      <c r="EW100">
        <v>12.75</v>
      </c>
      <c r="EX100">
        <v>0</v>
      </c>
      <c r="EY100">
        <v>0</v>
      </c>
      <c r="FQ100">
        <v>0</v>
      </c>
      <c r="FR100">
        <v>0</v>
      </c>
      <c r="FS100">
        <v>0</v>
      </c>
      <c r="FX100">
        <v>70</v>
      </c>
      <c r="FY100">
        <v>10</v>
      </c>
      <c r="GA100" t="s">
        <v>3</v>
      </c>
      <c r="GD100">
        <v>0</v>
      </c>
      <c r="GF100">
        <v>-451448609</v>
      </c>
      <c r="GG100">
        <v>2</v>
      </c>
      <c r="GH100">
        <v>1</v>
      </c>
      <c r="GI100">
        <v>-2</v>
      </c>
      <c r="GJ100">
        <v>0</v>
      </c>
      <c r="GK100">
        <f>ROUND(R100*(R12)/100,2)</f>
        <v>0</v>
      </c>
      <c r="GL100">
        <f t="shared" si="95"/>
        <v>0</v>
      </c>
      <c r="GM100">
        <f t="shared" si="96"/>
        <v>265600.7</v>
      </c>
      <c r="GN100">
        <f t="shared" si="97"/>
        <v>0</v>
      </c>
      <c r="GO100">
        <f t="shared" si="98"/>
        <v>0</v>
      </c>
      <c r="GP100">
        <f t="shared" si="99"/>
        <v>265600.7</v>
      </c>
      <c r="GR100">
        <v>0</v>
      </c>
      <c r="GS100">
        <v>3</v>
      </c>
      <c r="GT100">
        <v>0</v>
      </c>
      <c r="GU100" t="s">
        <v>3</v>
      </c>
      <c r="GV100">
        <f t="shared" si="100"/>
        <v>0</v>
      </c>
      <c r="GW100">
        <v>1</v>
      </c>
      <c r="GX100">
        <f t="shared" si="101"/>
        <v>0</v>
      </c>
      <c r="HA100">
        <v>0</v>
      </c>
      <c r="HB100">
        <v>0</v>
      </c>
      <c r="HC100">
        <f t="shared" si="102"/>
        <v>0</v>
      </c>
      <c r="HE100" t="s">
        <v>3</v>
      </c>
      <c r="HF100" t="s">
        <v>3</v>
      </c>
      <c r="HM100" t="s">
        <v>3</v>
      </c>
      <c r="HN100" t="s">
        <v>3</v>
      </c>
      <c r="HO100" t="s">
        <v>3</v>
      </c>
      <c r="HP100" t="s">
        <v>3</v>
      </c>
      <c r="HQ100" t="s">
        <v>3</v>
      </c>
      <c r="HS100">
        <v>0</v>
      </c>
      <c r="IK100">
        <v>0</v>
      </c>
    </row>
    <row r="101" spans="1:245" x14ac:dyDescent="0.25">
      <c r="A101">
        <v>18</v>
      </c>
      <c r="B101">
        <v>1</v>
      </c>
      <c r="C101">
        <v>48</v>
      </c>
      <c r="E101" t="s">
        <v>190</v>
      </c>
      <c r="F101" t="s">
        <v>37</v>
      </c>
      <c r="G101" t="s">
        <v>38</v>
      </c>
      <c r="H101" t="s">
        <v>39</v>
      </c>
      <c r="I101">
        <f>I100*J101</f>
        <v>-24.765000000000001</v>
      </c>
      <c r="J101">
        <v>-19.5</v>
      </c>
      <c r="K101">
        <v>-1.5</v>
      </c>
      <c r="O101">
        <f t="shared" si="71"/>
        <v>-1357.37</v>
      </c>
      <c r="P101">
        <f t="shared" si="72"/>
        <v>-1357.37</v>
      </c>
      <c r="Q101">
        <f t="shared" si="73"/>
        <v>0</v>
      </c>
      <c r="R101">
        <f t="shared" si="74"/>
        <v>0</v>
      </c>
      <c r="S101">
        <f t="shared" si="75"/>
        <v>0</v>
      </c>
      <c r="T101">
        <f t="shared" si="76"/>
        <v>0</v>
      </c>
      <c r="U101">
        <f t="shared" si="77"/>
        <v>0</v>
      </c>
      <c r="V101">
        <f t="shared" si="78"/>
        <v>0</v>
      </c>
      <c r="W101">
        <f t="shared" si="79"/>
        <v>0</v>
      </c>
      <c r="X101">
        <f t="shared" si="80"/>
        <v>0</v>
      </c>
      <c r="Y101">
        <f t="shared" si="81"/>
        <v>0</v>
      </c>
      <c r="AA101">
        <v>80889732</v>
      </c>
      <c r="AB101">
        <f t="shared" si="82"/>
        <v>54.81</v>
      </c>
      <c r="AC101">
        <f>ROUND((ES101),6)</f>
        <v>54.81</v>
      </c>
      <c r="AD101">
        <f>ROUND((((ET101)-(EU101))+AE101),6)</f>
        <v>0</v>
      </c>
      <c r="AE101">
        <f>ROUND((EU101),6)</f>
        <v>0</v>
      </c>
      <c r="AF101">
        <f>ROUND((EV101),6)</f>
        <v>0</v>
      </c>
      <c r="AG101">
        <f t="shared" si="83"/>
        <v>0</v>
      </c>
      <c r="AH101">
        <f>(EW101)</f>
        <v>0</v>
      </c>
      <c r="AI101">
        <f>(EX101)</f>
        <v>0</v>
      </c>
      <c r="AJ101">
        <f t="shared" si="84"/>
        <v>0</v>
      </c>
      <c r="AK101">
        <v>54.81</v>
      </c>
      <c r="AL101">
        <v>54.81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70</v>
      </c>
      <c r="AU101">
        <v>10</v>
      </c>
      <c r="AV101">
        <v>1</v>
      </c>
      <c r="AW101">
        <v>1</v>
      </c>
      <c r="AZ101">
        <v>1</v>
      </c>
      <c r="BA101">
        <v>1</v>
      </c>
      <c r="BB101">
        <v>1</v>
      </c>
      <c r="BC101">
        <v>1</v>
      </c>
      <c r="BD101" t="s">
        <v>3</v>
      </c>
      <c r="BE101" t="s">
        <v>3</v>
      </c>
      <c r="BF101" t="s">
        <v>3</v>
      </c>
      <c r="BG101" t="s">
        <v>3</v>
      </c>
      <c r="BH101">
        <v>3</v>
      </c>
      <c r="BI101">
        <v>4</v>
      </c>
      <c r="BJ101" t="s">
        <v>40</v>
      </c>
      <c r="BM101">
        <v>0</v>
      </c>
      <c r="BN101">
        <v>0</v>
      </c>
      <c r="BO101" t="s">
        <v>3</v>
      </c>
      <c r="BP101">
        <v>0</v>
      </c>
      <c r="BQ101">
        <v>1</v>
      </c>
      <c r="BR101">
        <v>1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70</v>
      </c>
      <c r="CA101">
        <v>10</v>
      </c>
      <c r="CB101" t="s">
        <v>3</v>
      </c>
      <c r="CE101">
        <v>0</v>
      </c>
      <c r="CF101">
        <v>0</v>
      </c>
      <c r="CG101">
        <v>0</v>
      </c>
      <c r="CM101">
        <v>0</v>
      </c>
      <c r="CN101" t="s">
        <v>3</v>
      </c>
      <c r="CO101">
        <v>0</v>
      </c>
      <c r="CP101">
        <f t="shared" si="85"/>
        <v>-1357.37</v>
      </c>
      <c r="CQ101">
        <f t="shared" si="86"/>
        <v>54.81</v>
      </c>
      <c r="CR101">
        <f>((((ET101)*BB101-(EU101)*BS101)+AE101*BS101)*AV101)</f>
        <v>0</v>
      </c>
      <c r="CS101">
        <f t="shared" si="87"/>
        <v>0</v>
      </c>
      <c r="CT101">
        <f t="shared" si="88"/>
        <v>0</v>
      </c>
      <c r="CU101">
        <f t="shared" si="89"/>
        <v>0</v>
      </c>
      <c r="CV101">
        <f t="shared" si="90"/>
        <v>0</v>
      </c>
      <c r="CW101">
        <f t="shared" si="91"/>
        <v>0</v>
      </c>
      <c r="CX101">
        <f t="shared" si="92"/>
        <v>0</v>
      </c>
      <c r="CY101">
        <f t="shared" si="93"/>
        <v>0</v>
      </c>
      <c r="CZ101">
        <f t="shared" si="94"/>
        <v>0</v>
      </c>
      <c r="DC101" t="s">
        <v>3</v>
      </c>
      <c r="DD101" t="s">
        <v>3</v>
      </c>
      <c r="DE101" t="s">
        <v>3</v>
      </c>
      <c r="DF101" t="s">
        <v>3</v>
      </c>
      <c r="DG101" t="s">
        <v>3</v>
      </c>
      <c r="DH101" t="s">
        <v>3</v>
      </c>
      <c r="DI101" t="s">
        <v>3</v>
      </c>
      <c r="DJ101" t="s">
        <v>3</v>
      </c>
      <c r="DK101" t="s">
        <v>3</v>
      </c>
      <c r="DL101" t="s">
        <v>3</v>
      </c>
      <c r="DM101" t="s">
        <v>3</v>
      </c>
      <c r="DN101">
        <v>0</v>
      </c>
      <c r="DO101">
        <v>0</v>
      </c>
      <c r="DP101">
        <v>1</v>
      </c>
      <c r="DQ101">
        <v>1</v>
      </c>
      <c r="DU101">
        <v>1007</v>
      </c>
      <c r="DV101" t="s">
        <v>39</v>
      </c>
      <c r="DW101" t="s">
        <v>39</v>
      </c>
      <c r="DX101">
        <v>1</v>
      </c>
      <c r="DZ101" t="s">
        <v>3</v>
      </c>
      <c r="EA101" t="s">
        <v>3</v>
      </c>
      <c r="EB101" t="s">
        <v>3</v>
      </c>
      <c r="EC101" t="s">
        <v>3</v>
      </c>
      <c r="EE101">
        <v>80196140</v>
      </c>
      <c r="EF101">
        <v>1</v>
      </c>
      <c r="EG101" t="s">
        <v>23</v>
      </c>
      <c r="EH101">
        <v>0</v>
      </c>
      <c r="EI101" t="s">
        <v>3</v>
      </c>
      <c r="EJ101">
        <v>4</v>
      </c>
      <c r="EK101">
        <v>0</v>
      </c>
      <c r="EL101" t="s">
        <v>24</v>
      </c>
      <c r="EM101" t="s">
        <v>25</v>
      </c>
      <c r="EO101" t="s">
        <v>3</v>
      </c>
      <c r="EQ101">
        <v>0</v>
      </c>
      <c r="ER101">
        <v>54.81</v>
      </c>
      <c r="ES101">
        <v>54.81</v>
      </c>
      <c r="ET101">
        <v>0</v>
      </c>
      <c r="EU101">
        <v>0</v>
      </c>
      <c r="EV101">
        <v>0</v>
      </c>
      <c r="EW101">
        <v>0</v>
      </c>
      <c r="EX101">
        <v>0</v>
      </c>
      <c r="FQ101">
        <v>0</v>
      </c>
      <c r="FR101">
        <v>0</v>
      </c>
      <c r="FS101">
        <v>0</v>
      </c>
      <c r="FX101">
        <v>70</v>
      </c>
      <c r="FY101">
        <v>10</v>
      </c>
      <c r="GA101" t="s">
        <v>3</v>
      </c>
      <c r="GD101">
        <v>0</v>
      </c>
      <c r="GF101">
        <v>2112060389</v>
      </c>
      <c r="GG101">
        <v>2</v>
      </c>
      <c r="GH101">
        <v>1</v>
      </c>
      <c r="GI101">
        <v>-2</v>
      </c>
      <c r="GJ101">
        <v>0</v>
      </c>
      <c r="GK101">
        <f>ROUND(R101*(R12)/100,2)</f>
        <v>0</v>
      </c>
      <c r="GL101">
        <f t="shared" si="95"/>
        <v>0</v>
      </c>
      <c r="GM101">
        <f t="shared" si="96"/>
        <v>-1357.37</v>
      </c>
      <c r="GN101">
        <f t="shared" si="97"/>
        <v>0</v>
      </c>
      <c r="GO101">
        <f t="shared" si="98"/>
        <v>0</v>
      </c>
      <c r="GP101">
        <f t="shared" si="99"/>
        <v>-1357.37</v>
      </c>
      <c r="GR101">
        <v>0</v>
      </c>
      <c r="GS101">
        <v>3</v>
      </c>
      <c r="GT101">
        <v>0</v>
      </c>
      <c r="GU101" t="s">
        <v>3</v>
      </c>
      <c r="GV101">
        <f t="shared" si="100"/>
        <v>0</v>
      </c>
      <c r="GW101">
        <v>1</v>
      </c>
      <c r="GX101">
        <f t="shared" si="101"/>
        <v>0</v>
      </c>
      <c r="HA101">
        <v>0</v>
      </c>
      <c r="HB101">
        <v>0</v>
      </c>
      <c r="HC101">
        <f t="shared" si="102"/>
        <v>0</v>
      </c>
      <c r="HE101" t="s">
        <v>3</v>
      </c>
      <c r="HF101" t="s">
        <v>3</v>
      </c>
      <c r="HM101" t="s">
        <v>189</v>
      </c>
      <c r="HN101" t="s">
        <v>3</v>
      </c>
      <c r="HO101" t="s">
        <v>3</v>
      </c>
      <c r="HP101" t="s">
        <v>3</v>
      </c>
      <c r="HQ101" t="s">
        <v>3</v>
      </c>
      <c r="HS101">
        <v>0</v>
      </c>
      <c r="IK101">
        <v>0</v>
      </c>
    </row>
    <row r="102" spans="1:245" x14ac:dyDescent="0.25">
      <c r="A102">
        <v>17</v>
      </c>
      <c r="B102">
        <v>1</v>
      </c>
      <c r="C102">
        <f>ROW(SmtRes!A50)</f>
        <v>50</v>
      </c>
      <c r="D102">
        <f>ROW(EtalonRes!A50)</f>
        <v>50</v>
      </c>
      <c r="E102" t="s">
        <v>191</v>
      </c>
      <c r="F102" t="s">
        <v>192</v>
      </c>
      <c r="G102" t="s">
        <v>193</v>
      </c>
      <c r="H102" t="s">
        <v>194</v>
      </c>
      <c r="I102">
        <v>4.68</v>
      </c>
      <c r="J102">
        <v>0</v>
      </c>
      <c r="K102">
        <v>4.68</v>
      </c>
      <c r="O102">
        <f t="shared" si="71"/>
        <v>126603.64</v>
      </c>
      <c r="P102">
        <f t="shared" si="72"/>
        <v>0</v>
      </c>
      <c r="Q102">
        <f t="shared" si="73"/>
        <v>0</v>
      </c>
      <c r="R102">
        <f t="shared" si="74"/>
        <v>0</v>
      </c>
      <c r="S102">
        <f t="shared" si="75"/>
        <v>126603.64</v>
      </c>
      <c r="T102">
        <f t="shared" si="76"/>
        <v>0</v>
      </c>
      <c r="U102">
        <f t="shared" si="77"/>
        <v>279.39599999999996</v>
      </c>
      <c r="V102">
        <f t="shared" si="78"/>
        <v>0</v>
      </c>
      <c r="W102">
        <f t="shared" si="79"/>
        <v>0</v>
      </c>
      <c r="X102">
        <f t="shared" si="80"/>
        <v>88622.55</v>
      </c>
      <c r="Y102">
        <f t="shared" si="81"/>
        <v>12660.36</v>
      </c>
      <c r="AA102">
        <v>80889732</v>
      </c>
      <c r="AB102">
        <f t="shared" si="82"/>
        <v>27052.06</v>
      </c>
      <c r="AC102">
        <f>ROUND(((ES102*199)),6)</f>
        <v>0</v>
      </c>
      <c r="AD102">
        <f>ROUND(((((ET102*199))-((EU102*199)))+AE102),6)</f>
        <v>0</v>
      </c>
      <c r="AE102">
        <f>ROUND(((EU102*199)),6)</f>
        <v>0</v>
      </c>
      <c r="AF102">
        <f>ROUND(((EV102*199)),6)</f>
        <v>27052.06</v>
      </c>
      <c r="AG102">
        <f t="shared" si="83"/>
        <v>0</v>
      </c>
      <c r="AH102">
        <f>((EW102*199))</f>
        <v>59.699999999999996</v>
      </c>
      <c r="AI102">
        <f>((EX102*199))</f>
        <v>0</v>
      </c>
      <c r="AJ102">
        <f t="shared" si="84"/>
        <v>0</v>
      </c>
      <c r="AK102">
        <v>135.94</v>
      </c>
      <c r="AL102">
        <v>0</v>
      </c>
      <c r="AM102">
        <v>0</v>
      </c>
      <c r="AN102">
        <v>0</v>
      </c>
      <c r="AO102">
        <v>135.94</v>
      </c>
      <c r="AP102">
        <v>0</v>
      </c>
      <c r="AQ102">
        <v>0.3</v>
      </c>
      <c r="AR102">
        <v>0</v>
      </c>
      <c r="AS102">
        <v>0</v>
      </c>
      <c r="AT102">
        <v>70</v>
      </c>
      <c r="AU102">
        <v>10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1</v>
      </c>
      <c r="BD102" t="s">
        <v>3</v>
      </c>
      <c r="BE102" t="s">
        <v>3</v>
      </c>
      <c r="BF102" t="s">
        <v>3</v>
      </c>
      <c r="BG102" t="s">
        <v>3</v>
      </c>
      <c r="BH102">
        <v>0</v>
      </c>
      <c r="BI102">
        <v>4</v>
      </c>
      <c r="BJ102" t="s">
        <v>195</v>
      </c>
      <c r="BM102">
        <v>0</v>
      </c>
      <c r="BN102">
        <v>0</v>
      </c>
      <c r="BO102" t="s">
        <v>3</v>
      </c>
      <c r="BP102">
        <v>0</v>
      </c>
      <c r="BQ102">
        <v>1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70</v>
      </c>
      <c r="CA102">
        <v>10</v>
      </c>
      <c r="CB102" t="s">
        <v>3</v>
      </c>
      <c r="CE102">
        <v>0</v>
      </c>
      <c r="CF102">
        <v>0</v>
      </c>
      <c r="CG102">
        <v>0</v>
      </c>
      <c r="CM102">
        <v>0</v>
      </c>
      <c r="CN102" t="s">
        <v>3</v>
      </c>
      <c r="CO102">
        <v>0</v>
      </c>
      <c r="CP102">
        <f t="shared" si="85"/>
        <v>126603.64</v>
      </c>
      <c r="CQ102">
        <f t="shared" si="86"/>
        <v>0</v>
      </c>
      <c r="CR102">
        <f>(((((ET102*199))*BB102-((EU102*199))*BS102)+AE102*BS102)*AV102)</f>
        <v>0</v>
      </c>
      <c r="CS102">
        <f t="shared" si="87"/>
        <v>0</v>
      </c>
      <c r="CT102">
        <f t="shared" si="88"/>
        <v>27052.06</v>
      </c>
      <c r="CU102">
        <f t="shared" si="89"/>
        <v>0</v>
      </c>
      <c r="CV102">
        <f t="shared" si="90"/>
        <v>59.699999999999996</v>
      </c>
      <c r="CW102">
        <f t="shared" si="91"/>
        <v>0</v>
      </c>
      <c r="CX102">
        <f t="shared" si="92"/>
        <v>0</v>
      </c>
      <c r="CY102">
        <f t="shared" si="93"/>
        <v>88622.54800000001</v>
      </c>
      <c r="CZ102">
        <f t="shared" si="94"/>
        <v>12660.364</v>
      </c>
      <c r="DC102" t="s">
        <v>3</v>
      </c>
      <c r="DD102" t="s">
        <v>196</v>
      </c>
      <c r="DE102" t="s">
        <v>196</v>
      </c>
      <c r="DF102" t="s">
        <v>196</v>
      </c>
      <c r="DG102" t="s">
        <v>196</v>
      </c>
      <c r="DH102" t="s">
        <v>3</v>
      </c>
      <c r="DI102" t="s">
        <v>196</v>
      </c>
      <c r="DJ102" t="s">
        <v>196</v>
      </c>
      <c r="DK102" t="s">
        <v>3</v>
      </c>
      <c r="DL102" t="s">
        <v>3</v>
      </c>
      <c r="DM102" t="s">
        <v>3</v>
      </c>
      <c r="DN102">
        <v>0</v>
      </c>
      <c r="DO102">
        <v>0</v>
      </c>
      <c r="DP102">
        <v>1</v>
      </c>
      <c r="DQ102">
        <v>1</v>
      </c>
      <c r="DU102">
        <v>1005</v>
      </c>
      <c r="DV102" t="s">
        <v>194</v>
      </c>
      <c r="DW102" t="s">
        <v>194</v>
      </c>
      <c r="DX102">
        <v>10</v>
      </c>
      <c r="DZ102" t="s">
        <v>3</v>
      </c>
      <c r="EA102" t="s">
        <v>3</v>
      </c>
      <c r="EB102" t="s">
        <v>3</v>
      </c>
      <c r="EC102" t="s">
        <v>3</v>
      </c>
      <c r="EE102">
        <v>80196140</v>
      </c>
      <c r="EF102">
        <v>1</v>
      </c>
      <c r="EG102" t="s">
        <v>23</v>
      </c>
      <c r="EH102">
        <v>0</v>
      </c>
      <c r="EI102" t="s">
        <v>3</v>
      </c>
      <c r="EJ102">
        <v>4</v>
      </c>
      <c r="EK102">
        <v>0</v>
      </c>
      <c r="EL102" t="s">
        <v>24</v>
      </c>
      <c r="EM102" t="s">
        <v>25</v>
      </c>
      <c r="EO102" t="s">
        <v>3</v>
      </c>
      <c r="EQ102">
        <v>0</v>
      </c>
      <c r="ER102">
        <v>135.94</v>
      </c>
      <c r="ES102">
        <v>0</v>
      </c>
      <c r="ET102">
        <v>0</v>
      </c>
      <c r="EU102">
        <v>0</v>
      </c>
      <c r="EV102">
        <v>135.94</v>
      </c>
      <c r="EW102">
        <v>0.3</v>
      </c>
      <c r="EX102">
        <v>0</v>
      </c>
      <c r="EY102">
        <v>0</v>
      </c>
      <c r="FQ102">
        <v>0</v>
      </c>
      <c r="FR102">
        <v>0</v>
      </c>
      <c r="FS102">
        <v>0</v>
      </c>
      <c r="FX102">
        <v>70</v>
      </c>
      <c r="FY102">
        <v>10</v>
      </c>
      <c r="GA102" t="s">
        <v>3</v>
      </c>
      <c r="GD102">
        <v>0</v>
      </c>
      <c r="GF102">
        <v>-424361502</v>
      </c>
      <c r="GG102">
        <v>2</v>
      </c>
      <c r="GH102">
        <v>1</v>
      </c>
      <c r="GI102">
        <v>-2</v>
      </c>
      <c r="GJ102">
        <v>0</v>
      </c>
      <c r="GK102">
        <f>ROUND(R102*(R12)/100,2)</f>
        <v>0</v>
      </c>
      <c r="GL102">
        <f t="shared" si="95"/>
        <v>0</v>
      </c>
      <c r="GM102">
        <f t="shared" si="96"/>
        <v>227886.55</v>
      </c>
      <c r="GN102">
        <f t="shared" si="97"/>
        <v>0</v>
      </c>
      <c r="GO102">
        <f t="shared" si="98"/>
        <v>0</v>
      </c>
      <c r="GP102">
        <f t="shared" si="99"/>
        <v>227886.55</v>
      </c>
      <c r="GR102">
        <v>0</v>
      </c>
      <c r="GS102">
        <v>3</v>
      </c>
      <c r="GT102">
        <v>0</v>
      </c>
      <c r="GU102" t="s">
        <v>3</v>
      </c>
      <c r="GV102">
        <f t="shared" si="100"/>
        <v>0</v>
      </c>
      <c r="GW102">
        <v>1</v>
      </c>
      <c r="GX102">
        <f t="shared" si="101"/>
        <v>0</v>
      </c>
      <c r="HA102">
        <v>0</v>
      </c>
      <c r="HB102">
        <v>0</v>
      </c>
      <c r="HC102">
        <f t="shared" si="102"/>
        <v>0</v>
      </c>
      <c r="HE102" t="s">
        <v>3</v>
      </c>
      <c r="HF102" t="s">
        <v>3</v>
      </c>
      <c r="HM102" t="s">
        <v>3</v>
      </c>
      <c r="HN102" t="s">
        <v>3</v>
      </c>
      <c r="HO102" t="s">
        <v>3</v>
      </c>
      <c r="HP102" t="s">
        <v>3</v>
      </c>
      <c r="HQ102" t="s">
        <v>3</v>
      </c>
      <c r="HS102">
        <v>0</v>
      </c>
      <c r="IK102">
        <v>0</v>
      </c>
    </row>
    <row r="103" spans="1:245" x14ac:dyDescent="0.25">
      <c r="A103">
        <v>17</v>
      </c>
      <c r="B103">
        <v>1</v>
      </c>
      <c r="C103">
        <f>ROW(SmtRes!A54)</f>
        <v>54</v>
      </c>
      <c r="D103">
        <f>ROW(EtalonRes!A54)</f>
        <v>54</v>
      </c>
      <c r="E103" t="s">
        <v>197</v>
      </c>
      <c r="F103" t="s">
        <v>198</v>
      </c>
      <c r="G103" t="s">
        <v>199</v>
      </c>
      <c r="H103" t="s">
        <v>29</v>
      </c>
      <c r="I103">
        <v>14.087</v>
      </c>
      <c r="J103">
        <v>0</v>
      </c>
      <c r="K103">
        <v>14.087</v>
      </c>
      <c r="O103">
        <f t="shared" si="71"/>
        <v>248065.02</v>
      </c>
      <c r="P103">
        <f t="shared" si="72"/>
        <v>3088.57</v>
      </c>
      <c r="Q103">
        <f t="shared" si="73"/>
        <v>204760.88</v>
      </c>
      <c r="R103">
        <f t="shared" si="74"/>
        <v>89732.08</v>
      </c>
      <c r="S103">
        <f t="shared" si="75"/>
        <v>40215.57</v>
      </c>
      <c r="T103">
        <f t="shared" si="76"/>
        <v>0</v>
      </c>
      <c r="U103">
        <f t="shared" si="77"/>
        <v>88.748099999999994</v>
      </c>
      <c r="V103">
        <f t="shared" si="78"/>
        <v>0</v>
      </c>
      <c r="W103">
        <f t="shared" si="79"/>
        <v>0</v>
      </c>
      <c r="X103">
        <f t="shared" si="80"/>
        <v>28150.9</v>
      </c>
      <c r="Y103">
        <f t="shared" si="81"/>
        <v>4021.56</v>
      </c>
      <c r="AA103">
        <v>80889732</v>
      </c>
      <c r="AB103">
        <f t="shared" si="82"/>
        <v>17609.5</v>
      </c>
      <c r="AC103">
        <f>ROUND(((ES103*5)),6)</f>
        <v>219.25</v>
      </c>
      <c r="AD103">
        <f>ROUND(((((ET103*5))-((EU103*5)))+AE103),6)</f>
        <v>14535.45</v>
      </c>
      <c r="AE103">
        <f>ROUND(((EU103*5)),6)</f>
        <v>6369.85</v>
      </c>
      <c r="AF103">
        <f>ROUND(((EV103*5)),6)</f>
        <v>2854.8</v>
      </c>
      <c r="AG103">
        <f t="shared" si="83"/>
        <v>0</v>
      </c>
      <c r="AH103">
        <f>((EW103*5))</f>
        <v>6.3</v>
      </c>
      <c r="AI103">
        <f>((EX103*5))</f>
        <v>0</v>
      </c>
      <c r="AJ103">
        <f t="shared" si="84"/>
        <v>0</v>
      </c>
      <c r="AK103">
        <v>3521.9</v>
      </c>
      <c r="AL103">
        <v>43.85</v>
      </c>
      <c r="AM103">
        <v>2907.09</v>
      </c>
      <c r="AN103">
        <v>1273.97</v>
      </c>
      <c r="AO103">
        <v>570.96</v>
      </c>
      <c r="AP103">
        <v>0</v>
      </c>
      <c r="AQ103">
        <v>1.26</v>
      </c>
      <c r="AR103">
        <v>0</v>
      </c>
      <c r="AS103">
        <v>0</v>
      </c>
      <c r="AT103">
        <v>70</v>
      </c>
      <c r="AU103">
        <v>10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1</v>
      </c>
      <c r="BD103" t="s">
        <v>3</v>
      </c>
      <c r="BE103" t="s">
        <v>3</v>
      </c>
      <c r="BF103" t="s">
        <v>3</v>
      </c>
      <c r="BG103" t="s">
        <v>3</v>
      </c>
      <c r="BH103">
        <v>0</v>
      </c>
      <c r="BI103">
        <v>4</v>
      </c>
      <c r="BJ103" t="s">
        <v>200</v>
      </c>
      <c r="BM103">
        <v>0</v>
      </c>
      <c r="BN103">
        <v>0</v>
      </c>
      <c r="BO103" t="s">
        <v>3</v>
      </c>
      <c r="BP103">
        <v>0</v>
      </c>
      <c r="BQ103">
        <v>1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70</v>
      </c>
      <c r="CA103">
        <v>10</v>
      </c>
      <c r="CB103" t="s">
        <v>3</v>
      </c>
      <c r="CE103">
        <v>0</v>
      </c>
      <c r="CF103">
        <v>0</v>
      </c>
      <c r="CG103">
        <v>0</v>
      </c>
      <c r="CM103">
        <v>0</v>
      </c>
      <c r="CN103" t="s">
        <v>3</v>
      </c>
      <c r="CO103">
        <v>0</v>
      </c>
      <c r="CP103">
        <f t="shared" si="85"/>
        <v>248065.02000000002</v>
      </c>
      <c r="CQ103">
        <f t="shared" si="86"/>
        <v>219.25</v>
      </c>
      <c r="CR103">
        <f>(((((ET103*5))*BB103-((EU103*5))*BS103)+AE103*BS103)*AV103)</f>
        <v>14535.45</v>
      </c>
      <c r="CS103">
        <f t="shared" si="87"/>
        <v>6369.85</v>
      </c>
      <c r="CT103">
        <f t="shared" si="88"/>
        <v>2854.8</v>
      </c>
      <c r="CU103">
        <f t="shared" si="89"/>
        <v>0</v>
      </c>
      <c r="CV103">
        <f t="shared" si="90"/>
        <v>6.3</v>
      </c>
      <c r="CW103">
        <f t="shared" si="91"/>
        <v>0</v>
      </c>
      <c r="CX103">
        <f t="shared" si="92"/>
        <v>0</v>
      </c>
      <c r="CY103">
        <f t="shared" si="93"/>
        <v>28150.898999999998</v>
      </c>
      <c r="CZ103">
        <f t="shared" si="94"/>
        <v>4021.5570000000002</v>
      </c>
      <c r="DC103" t="s">
        <v>3</v>
      </c>
      <c r="DD103" t="s">
        <v>95</v>
      </c>
      <c r="DE103" t="s">
        <v>95</v>
      </c>
      <c r="DF103" t="s">
        <v>95</v>
      </c>
      <c r="DG103" t="s">
        <v>95</v>
      </c>
      <c r="DH103" t="s">
        <v>3</v>
      </c>
      <c r="DI103" t="s">
        <v>95</v>
      </c>
      <c r="DJ103" t="s">
        <v>95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1005</v>
      </c>
      <c r="DV103" t="s">
        <v>29</v>
      </c>
      <c r="DW103" t="s">
        <v>29</v>
      </c>
      <c r="DX103">
        <v>100</v>
      </c>
      <c r="DZ103" t="s">
        <v>3</v>
      </c>
      <c r="EA103" t="s">
        <v>3</v>
      </c>
      <c r="EB103" t="s">
        <v>3</v>
      </c>
      <c r="EC103" t="s">
        <v>3</v>
      </c>
      <c r="EE103">
        <v>80196140</v>
      </c>
      <c r="EF103">
        <v>1</v>
      </c>
      <c r="EG103" t="s">
        <v>23</v>
      </c>
      <c r="EH103">
        <v>0</v>
      </c>
      <c r="EI103" t="s">
        <v>3</v>
      </c>
      <c r="EJ103">
        <v>4</v>
      </c>
      <c r="EK103">
        <v>0</v>
      </c>
      <c r="EL103" t="s">
        <v>24</v>
      </c>
      <c r="EM103" t="s">
        <v>25</v>
      </c>
      <c r="EO103" t="s">
        <v>3</v>
      </c>
      <c r="EQ103">
        <v>0</v>
      </c>
      <c r="ER103">
        <v>3521.9</v>
      </c>
      <c r="ES103">
        <v>43.85</v>
      </c>
      <c r="ET103">
        <v>2907.09</v>
      </c>
      <c r="EU103">
        <v>1273.97</v>
      </c>
      <c r="EV103">
        <v>570.96</v>
      </c>
      <c r="EW103">
        <v>1.26</v>
      </c>
      <c r="EX103">
        <v>0</v>
      </c>
      <c r="EY103">
        <v>0</v>
      </c>
      <c r="FQ103">
        <v>0</v>
      </c>
      <c r="FR103">
        <v>0</v>
      </c>
      <c r="FS103">
        <v>0</v>
      </c>
      <c r="FX103">
        <v>70</v>
      </c>
      <c r="FY103">
        <v>10</v>
      </c>
      <c r="GA103" t="s">
        <v>3</v>
      </c>
      <c r="GD103">
        <v>0</v>
      </c>
      <c r="GF103">
        <v>-1951882536</v>
      </c>
      <c r="GG103">
        <v>2</v>
      </c>
      <c r="GH103">
        <v>1</v>
      </c>
      <c r="GI103">
        <v>-2</v>
      </c>
      <c r="GJ103">
        <v>0</v>
      </c>
      <c r="GK103">
        <f>ROUND(R103*(R12)/100,2)</f>
        <v>96910.65</v>
      </c>
      <c r="GL103">
        <f t="shared" si="95"/>
        <v>0</v>
      </c>
      <c r="GM103">
        <f t="shared" si="96"/>
        <v>377148.13</v>
      </c>
      <c r="GN103">
        <f t="shared" si="97"/>
        <v>0</v>
      </c>
      <c r="GO103">
        <f t="shared" si="98"/>
        <v>0</v>
      </c>
      <c r="GP103">
        <f t="shared" si="99"/>
        <v>377148.13</v>
      </c>
      <c r="GR103">
        <v>0</v>
      </c>
      <c r="GS103">
        <v>3</v>
      </c>
      <c r="GT103">
        <v>0</v>
      </c>
      <c r="GU103" t="s">
        <v>3</v>
      </c>
      <c r="GV103">
        <f t="shared" si="100"/>
        <v>0</v>
      </c>
      <c r="GW103">
        <v>1</v>
      </c>
      <c r="GX103">
        <f t="shared" si="101"/>
        <v>0</v>
      </c>
      <c r="HA103">
        <v>0</v>
      </c>
      <c r="HB103">
        <v>0</v>
      </c>
      <c r="HC103">
        <f t="shared" si="102"/>
        <v>0</v>
      </c>
      <c r="HE103" t="s">
        <v>3</v>
      </c>
      <c r="HF103" t="s">
        <v>3</v>
      </c>
      <c r="HM103" t="s">
        <v>3</v>
      </c>
      <c r="HN103" t="s">
        <v>3</v>
      </c>
      <c r="HO103" t="s">
        <v>3</v>
      </c>
      <c r="HP103" t="s">
        <v>3</v>
      </c>
      <c r="HQ103" t="s">
        <v>3</v>
      </c>
      <c r="HS103">
        <v>0</v>
      </c>
      <c r="IK103">
        <v>0</v>
      </c>
    </row>
    <row r="105" spans="1:245" ht="13" x14ac:dyDescent="0.3">
      <c r="A105" s="2">
        <v>51</v>
      </c>
      <c r="B105" s="2">
        <f>B82</f>
        <v>1</v>
      </c>
      <c r="C105" s="2">
        <f>A82</f>
        <v>5</v>
      </c>
      <c r="D105" s="2">
        <f>ROW(A82)</f>
        <v>82</v>
      </c>
      <c r="E105" s="2"/>
      <c r="F105" s="2" t="str">
        <f>IF(F82&lt;&gt;"",F82,"")</f>
        <v>Новый подраздел</v>
      </c>
      <c r="G105" s="2" t="str">
        <f>IF(G82&lt;&gt;"",G82,"")</f>
        <v xml:space="preserve">Подраздел: ЛЕТНЯЯ УБОРКА </v>
      </c>
      <c r="H105" s="2">
        <v>0</v>
      </c>
      <c r="I105" s="2"/>
      <c r="J105" s="2"/>
      <c r="K105" s="2"/>
      <c r="L105" s="2"/>
      <c r="M105" s="2"/>
      <c r="N105" s="2"/>
      <c r="O105" s="2">
        <f t="shared" ref="O105:T105" si="107">ROUND(AB105,2)</f>
        <v>16867136.530000001</v>
      </c>
      <c r="P105" s="2">
        <f t="shared" si="107"/>
        <v>179302.61</v>
      </c>
      <c r="Q105" s="2">
        <f t="shared" si="107"/>
        <v>12201289.560000001</v>
      </c>
      <c r="R105" s="2">
        <f t="shared" si="107"/>
        <v>5760028.0199999996</v>
      </c>
      <c r="S105" s="2">
        <f t="shared" si="107"/>
        <v>4486544.3600000003</v>
      </c>
      <c r="T105" s="2">
        <f t="shared" si="107"/>
        <v>0</v>
      </c>
      <c r="U105" s="2">
        <f>AH105</f>
        <v>10340.769708000002</v>
      </c>
      <c r="V105" s="2">
        <f>AI105</f>
        <v>0</v>
      </c>
      <c r="W105" s="2">
        <f>ROUND(AJ105,2)</f>
        <v>0</v>
      </c>
      <c r="X105" s="2">
        <f>ROUND(AK105,2)</f>
        <v>3140581.05</v>
      </c>
      <c r="Y105" s="2">
        <f>ROUND(AL105,2)</f>
        <v>448654.44</v>
      </c>
      <c r="Z105" s="2"/>
      <c r="AA105" s="2"/>
      <c r="AB105" s="2">
        <f>ROUND(SUMIF(AA86:AA103,"=80889732",O86:O103),2)</f>
        <v>16867136.530000001</v>
      </c>
      <c r="AC105" s="2">
        <f>ROUND(SUMIF(AA86:AA103,"=80889732",P86:P103),2)</f>
        <v>179302.61</v>
      </c>
      <c r="AD105" s="2">
        <f>ROUND(SUMIF(AA86:AA103,"=80889732",Q86:Q103),2)</f>
        <v>12201289.560000001</v>
      </c>
      <c r="AE105" s="2">
        <f>ROUND(SUMIF(AA86:AA103,"=80889732",R86:R103),2)</f>
        <v>5760028.0199999996</v>
      </c>
      <c r="AF105" s="2">
        <f>ROUND(SUMIF(AA86:AA103,"=80889732",S86:S103),2)</f>
        <v>4486544.3600000003</v>
      </c>
      <c r="AG105" s="2">
        <f>ROUND(SUMIF(AA86:AA103,"=80889732",T86:T103),2)</f>
        <v>0</v>
      </c>
      <c r="AH105" s="2">
        <f>SUMIF(AA86:AA103,"=80889732",U86:U103)</f>
        <v>10340.769708000002</v>
      </c>
      <c r="AI105" s="2">
        <f>SUMIF(AA86:AA103,"=80889732",V86:V103)</f>
        <v>0</v>
      </c>
      <c r="AJ105" s="2">
        <f>ROUND(SUMIF(AA86:AA103,"=80889732",W86:W103),2)</f>
        <v>0</v>
      </c>
      <c r="AK105" s="2">
        <f>ROUND(SUMIF(AA86:AA103,"=80889732",X86:X103),2)</f>
        <v>3140581.05</v>
      </c>
      <c r="AL105" s="2">
        <f>ROUND(SUMIF(AA86:AA103,"=80889732",Y86:Y103),2)</f>
        <v>448654.44</v>
      </c>
      <c r="AM105" s="2"/>
      <c r="AN105" s="2"/>
      <c r="AO105" s="2">
        <f t="shared" ref="AO105:BD105" si="108">ROUND(BX105,2)</f>
        <v>0</v>
      </c>
      <c r="AP105" s="2">
        <f t="shared" si="108"/>
        <v>0</v>
      </c>
      <c r="AQ105" s="2">
        <f t="shared" si="108"/>
        <v>0</v>
      </c>
      <c r="AR105" s="2">
        <f t="shared" si="108"/>
        <v>26677202.280000001</v>
      </c>
      <c r="AS105" s="2">
        <f t="shared" si="108"/>
        <v>0</v>
      </c>
      <c r="AT105" s="2">
        <f t="shared" si="108"/>
        <v>0</v>
      </c>
      <c r="AU105" s="2">
        <f t="shared" si="108"/>
        <v>26677202.280000001</v>
      </c>
      <c r="AV105" s="2">
        <f t="shared" si="108"/>
        <v>179302.61</v>
      </c>
      <c r="AW105" s="2">
        <f t="shared" si="108"/>
        <v>179302.61</v>
      </c>
      <c r="AX105" s="2">
        <f t="shared" si="108"/>
        <v>0</v>
      </c>
      <c r="AY105" s="2">
        <f t="shared" si="108"/>
        <v>179302.61</v>
      </c>
      <c r="AZ105" s="2">
        <f t="shared" si="108"/>
        <v>0</v>
      </c>
      <c r="BA105" s="2">
        <f t="shared" si="108"/>
        <v>0</v>
      </c>
      <c r="BB105" s="2">
        <f t="shared" si="108"/>
        <v>0</v>
      </c>
      <c r="BC105" s="2">
        <f t="shared" si="108"/>
        <v>0</v>
      </c>
      <c r="BD105" s="2">
        <f t="shared" si="108"/>
        <v>0</v>
      </c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>
        <f>ROUND(SUMIF(AA86:AA103,"=80889732",FQ86:FQ103),2)</f>
        <v>0</v>
      </c>
      <c r="BY105" s="2">
        <f>ROUND(SUMIF(AA86:AA103,"=80889732",FR86:FR103),2)</f>
        <v>0</v>
      </c>
      <c r="BZ105" s="2">
        <f>ROUND(SUMIF(AA86:AA103,"=80889732",GL86:GL103),2)</f>
        <v>0</v>
      </c>
      <c r="CA105" s="2">
        <f>ROUND(SUMIF(AA86:AA103,"=80889732",GM86:GM103),2)</f>
        <v>26677202.280000001</v>
      </c>
      <c r="CB105" s="2">
        <f>ROUND(SUMIF(AA86:AA103,"=80889732",GN86:GN103),2)</f>
        <v>0</v>
      </c>
      <c r="CC105" s="2">
        <f>ROUND(SUMIF(AA86:AA103,"=80889732",GO86:GO103),2)</f>
        <v>0</v>
      </c>
      <c r="CD105" s="2">
        <f>ROUND(SUMIF(AA86:AA103,"=80889732",GP86:GP103),2)</f>
        <v>26677202.280000001</v>
      </c>
      <c r="CE105" s="2">
        <f>AC105-BX105</f>
        <v>179302.61</v>
      </c>
      <c r="CF105" s="2">
        <f>AC105-BY105</f>
        <v>179302.61</v>
      </c>
      <c r="CG105" s="2">
        <f>BX105-BZ105</f>
        <v>0</v>
      </c>
      <c r="CH105" s="2">
        <f>AC105-BX105-BY105+BZ105</f>
        <v>179302.61</v>
      </c>
      <c r="CI105" s="2">
        <f>BY105-BZ105</f>
        <v>0</v>
      </c>
      <c r="CJ105" s="2">
        <f>ROUND(SUMIF(AA86:AA103,"=80889732",GX86:GX103),2)</f>
        <v>0</v>
      </c>
      <c r="CK105" s="2">
        <f>ROUND(SUMIF(AA86:AA103,"=80889732",GY86:GY103),2)</f>
        <v>0</v>
      </c>
      <c r="CL105" s="2">
        <f>ROUND(SUMIF(AA86:AA103,"=80889732",GZ86:GZ103),2)</f>
        <v>0</v>
      </c>
      <c r="CM105" s="2">
        <f>ROUND(SUMIF(AA86:AA103,"=80889732",HD86:HD103),2)</f>
        <v>0</v>
      </c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>
        <v>0</v>
      </c>
    </row>
    <row r="107" spans="1:245" ht="13" x14ac:dyDescent="0.3">
      <c r="A107" s="4">
        <v>50</v>
      </c>
      <c r="B107" s="4">
        <v>0</v>
      </c>
      <c r="C107" s="4">
        <v>0</v>
      </c>
      <c r="D107" s="4">
        <v>1</v>
      </c>
      <c r="E107" s="4">
        <v>201</v>
      </c>
      <c r="F107" s="4">
        <f>ROUND(Source!O105,O107)</f>
        <v>16867136.530000001</v>
      </c>
      <c r="G107" s="4" t="s">
        <v>106</v>
      </c>
      <c r="H107" s="4" t="s">
        <v>107</v>
      </c>
      <c r="I107" s="4"/>
      <c r="J107" s="4"/>
      <c r="K107" s="4">
        <v>201</v>
      </c>
      <c r="L107" s="4">
        <v>1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16867136.530000001</v>
      </c>
      <c r="X107" s="4">
        <v>1</v>
      </c>
      <c r="Y107" s="4">
        <v>16867136.530000001</v>
      </c>
      <c r="Z107" s="4"/>
      <c r="AA107" s="4"/>
      <c r="AB107" s="4"/>
    </row>
    <row r="108" spans="1:245" ht="13" x14ac:dyDescent="0.3">
      <c r="A108" s="4">
        <v>50</v>
      </c>
      <c r="B108" s="4">
        <v>0</v>
      </c>
      <c r="C108" s="4">
        <v>0</v>
      </c>
      <c r="D108" s="4">
        <v>1</v>
      </c>
      <c r="E108" s="4">
        <v>202</v>
      </c>
      <c r="F108" s="4">
        <f>ROUND(Source!P105,O108)</f>
        <v>179302.61</v>
      </c>
      <c r="G108" s="4" t="s">
        <v>108</v>
      </c>
      <c r="H108" s="4" t="s">
        <v>109</v>
      </c>
      <c r="I108" s="4"/>
      <c r="J108" s="4"/>
      <c r="K108" s="4">
        <v>202</v>
      </c>
      <c r="L108" s="4">
        <v>2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179302.61</v>
      </c>
      <c r="X108" s="4">
        <v>1</v>
      </c>
      <c r="Y108" s="4">
        <v>179302.61</v>
      </c>
      <c r="Z108" s="4"/>
      <c r="AA108" s="4"/>
      <c r="AB108" s="4"/>
    </row>
    <row r="109" spans="1:245" ht="13" x14ac:dyDescent="0.3">
      <c r="A109" s="4">
        <v>50</v>
      </c>
      <c r="B109" s="4">
        <v>0</v>
      </c>
      <c r="C109" s="4">
        <v>0</v>
      </c>
      <c r="D109" s="4">
        <v>1</v>
      </c>
      <c r="E109" s="4">
        <v>222</v>
      </c>
      <c r="F109" s="4">
        <f>ROUND(Source!AO105,O109)</f>
        <v>0</v>
      </c>
      <c r="G109" s="4" t="s">
        <v>110</v>
      </c>
      <c r="H109" s="4" t="s">
        <v>111</v>
      </c>
      <c r="I109" s="4"/>
      <c r="J109" s="4"/>
      <c r="K109" s="4">
        <v>222</v>
      </c>
      <c r="L109" s="4">
        <v>3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45" ht="13" x14ac:dyDescent="0.3">
      <c r="A110" s="4">
        <v>50</v>
      </c>
      <c r="B110" s="4">
        <v>0</v>
      </c>
      <c r="C110" s="4">
        <v>0</v>
      </c>
      <c r="D110" s="4">
        <v>1</v>
      </c>
      <c r="E110" s="4">
        <v>225</v>
      </c>
      <c r="F110" s="4">
        <f>ROUND(Source!AV105,O110)</f>
        <v>179302.61</v>
      </c>
      <c r="G110" s="4" t="s">
        <v>112</v>
      </c>
      <c r="H110" s="4" t="s">
        <v>113</v>
      </c>
      <c r="I110" s="4"/>
      <c r="J110" s="4"/>
      <c r="K110" s="4">
        <v>225</v>
      </c>
      <c r="L110" s="4">
        <v>4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179302.61</v>
      </c>
      <c r="X110" s="4">
        <v>1</v>
      </c>
      <c r="Y110" s="4">
        <v>179302.61</v>
      </c>
      <c r="Z110" s="4"/>
      <c r="AA110" s="4"/>
      <c r="AB110" s="4"/>
    </row>
    <row r="111" spans="1:245" ht="13" x14ac:dyDescent="0.3">
      <c r="A111" s="4">
        <v>50</v>
      </c>
      <c r="B111" s="4">
        <v>0</v>
      </c>
      <c r="C111" s="4">
        <v>0</v>
      </c>
      <c r="D111" s="4">
        <v>1</v>
      </c>
      <c r="E111" s="4">
        <v>226</v>
      </c>
      <c r="F111" s="4">
        <f>ROUND(Source!AW105,O111)</f>
        <v>179302.61</v>
      </c>
      <c r="G111" s="4" t="s">
        <v>114</v>
      </c>
      <c r="H111" s="4" t="s">
        <v>115</v>
      </c>
      <c r="I111" s="4"/>
      <c r="J111" s="4"/>
      <c r="K111" s="4">
        <v>226</v>
      </c>
      <c r="L111" s="4">
        <v>5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179302.61</v>
      </c>
      <c r="X111" s="4">
        <v>1</v>
      </c>
      <c r="Y111" s="4">
        <v>179302.61</v>
      </c>
      <c r="Z111" s="4"/>
      <c r="AA111" s="4"/>
      <c r="AB111" s="4"/>
    </row>
    <row r="112" spans="1:245" ht="13" x14ac:dyDescent="0.3">
      <c r="A112" s="4">
        <v>50</v>
      </c>
      <c r="B112" s="4">
        <v>0</v>
      </c>
      <c r="C112" s="4">
        <v>0</v>
      </c>
      <c r="D112" s="4">
        <v>1</v>
      </c>
      <c r="E112" s="4">
        <v>227</v>
      </c>
      <c r="F112" s="4">
        <f>ROUND(Source!AX105,O112)</f>
        <v>0</v>
      </c>
      <c r="G112" s="4" t="s">
        <v>116</v>
      </c>
      <c r="H112" s="4" t="s">
        <v>117</v>
      </c>
      <c r="I112" s="4"/>
      <c r="J112" s="4"/>
      <c r="K112" s="4">
        <v>227</v>
      </c>
      <c r="L112" s="4">
        <v>6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 ht="13" x14ac:dyDescent="0.3">
      <c r="A113" s="4">
        <v>50</v>
      </c>
      <c r="B113" s="4">
        <v>0</v>
      </c>
      <c r="C113" s="4">
        <v>0</v>
      </c>
      <c r="D113" s="4">
        <v>1</v>
      </c>
      <c r="E113" s="4">
        <v>228</v>
      </c>
      <c r="F113" s="4">
        <f>ROUND(Source!AY105,O113)</f>
        <v>179302.61</v>
      </c>
      <c r="G113" s="4" t="s">
        <v>118</v>
      </c>
      <c r="H113" s="4" t="s">
        <v>119</v>
      </c>
      <c r="I113" s="4"/>
      <c r="J113" s="4"/>
      <c r="K113" s="4">
        <v>228</v>
      </c>
      <c r="L113" s="4">
        <v>7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179302.61</v>
      </c>
      <c r="X113" s="4">
        <v>1</v>
      </c>
      <c r="Y113" s="4">
        <v>179302.61</v>
      </c>
      <c r="Z113" s="4"/>
      <c r="AA113" s="4"/>
      <c r="AB113" s="4"/>
    </row>
    <row r="114" spans="1:28" ht="13" x14ac:dyDescent="0.3">
      <c r="A114" s="4">
        <v>50</v>
      </c>
      <c r="B114" s="4">
        <v>0</v>
      </c>
      <c r="C114" s="4">
        <v>0</v>
      </c>
      <c r="D114" s="4">
        <v>1</v>
      </c>
      <c r="E114" s="4">
        <v>216</v>
      </c>
      <c r="F114" s="4">
        <f>ROUND(Source!AP105,O114)</f>
        <v>0</v>
      </c>
      <c r="G114" s="4" t="s">
        <v>120</v>
      </c>
      <c r="H114" s="4" t="s">
        <v>121</v>
      </c>
      <c r="I114" s="4"/>
      <c r="J114" s="4"/>
      <c r="K114" s="4">
        <v>216</v>
      </c>
      <c r="L114" s="4">
        <v>8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 ht="13" x14ac:dyDescent="0.3">
      <c r="A115" s="4">
        <v>50</v>
      </c>
      <c r="B115" s="4">
        <v>0</v>
      </c>
      <c r="C115" s="4">
        <v>0</v>
      </c>
      <c r="D115" s="4">
        <v>1</v>
      </c>
      <c r="E115" s="4">
        <v>223</v>
      </c>
      <c r="F115" s="4">
        <f>ROUND(Source!AQ105,O115)</f>
        <v>0</v>
      </c>
      <c r="G115" s="4" t="s">
        <v>122</v>
      </c>
      <c r="H115" s="4" t="s">
        <v>123</v>
      </c>
      <c r="I115" s="4"/>
      <c r="J115" s="4"/>
      <c r="K115" s="4">
        <v>223</v>
      </c>
      <c r="L115" s="4">
        <v>9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 ht="13" x14ac:dyDescent="0.3">
      <c r="A116" s="4">
        <v>50</v>
      </c>
      <c r="B116" s="4">
        <v>0</v>
      </c>
      <c r="C116" s="4">
        <v>0</v>
      </c>
      <c r="D116" s="4">
        <v>1</v>
      </c>
      <c r="E116" s="4">
        <v>229</v>
      </c>
      <c r="F116" s="4">
        <f>ROUND(Source!AZ105,O116)</f>
        <v>0</v>
      </c>
      <c r="G116" s="4" t="s">
        <v>124</v>
      </c>
      <c r="H116" s="4" t="s">
        <v>125</v>
      </c>
      <c r="I116" s="4"/>
      <c r="J116" s="4"/>
      <c r="K116" s="4">
        <v>229</v>
      </c>
      <c r="L116" s="4">
        <v>10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8" ht="13" x14ac:dyDescent="0.3">
      <c r="A117" s="4">
        <v>50</v>
      </c>
      <c r="B117" s="4">
        <v>0</v>
      </c>
      <c r="C117" s="4">
        <v>0</v>
      </c>
      <c r="D117" s="4">
        <v>1</v>
      </c>
      <c r="E117" s="4">
        <v>203</v>
      </c>
      <c r="F117" s="4">
        <f>ROUND(Source!Q105,O117)</f>
        <v>12201289.560000001</v>
      </c>
      <c r="G117" s="4" t="s">
        <v>126</v>
      </c>
      <c r="H117" s="4" t="s">
        <v>127</v>
      </c>
      <c r="I117" s="4"/>
      <c r="J117" s="4"/>
      <c r="K117" s="4">
        <v>203</v>
      </c>
      <c r="L117" s="4">
        <v>11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12201289.560000001</v>
      </c>
      <c r="X117" s="4">
        <v>1</v>
      </c>
      <c r="Y117" s="4">
        <v>12201289.560000001</v>
      </c>
      <c r="Z117" s="4"/>
      <c r="AA117" s="4"/>
      <c r="AB117" s="4"/>
    </row>
    <row r="118" spans="1:28" ht="13" x14ac:dyDescent="0.3">
      <c r="A118" s="4">
        <v>50</v>
      </c>
      <c r="B118" s="4">
        <v>0</v>
      </c>
      <c r="C118" s="4">
        <v>0</v>
      </c>
      <c r="D118" s="4">
        <v>1</v>
      </c>
      <c r="E118" s="4">
        <v>231</v>
      </c>
      <c r="F118" s="4">
        <f>ROUND(Source!BB105,O118)</f>
        <v>0</v>
      </c>
      <c r="G118" s="4" t="s">
        <v>128</v>
      </c>
      <c r="H118" s="4" t="s">
        <v>129</v>
      </c>
      <c r="I118" s="4"/>
      <c r="J118" s="4"/>
      <c r="K118" s="4">
        <v>231</v>
      </c>
      <c r="L118" s="4">
        <v>12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 ht="13" x14ac:dyDescent="0.3">
      <c r="A119" s="4">
        <v>50</v>
      </c>
      <c r="B119" s="4">
        <v>0</v>
      </c>
      <c r="C119" s="4">
        <v>0</v>
      </c>
      <c r="D119" s="4">
        <v>1</v>
      </c>
      <c r="E119" s="4">
        <v>204</v>
      </c>
      <c r="F119" s="4">
        <f>ROUND(Source!R105,O119)</f>
        <v>5760028.0199999996</v>
      </c>
      <c r="G119" s="4" t="s">
        <v>130</v>
      </c>
      <c r="H119" s="4" t="s">
        <v>131</v>
      </c>
      <c r="I119" s="4"/>
      <c r="J119" s="4"/>
      <c r="K119" s="4">
        <v>204</v>
      </c>
      <c r="L119" s="4">
        <v>13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5760028.0199999996</v>
      </c>
      <c r="X119" s="4">
        <v>1</v>
      </c>
      <c r="Y119" s="4">
        <v>5760028.0199999996</v>
      </c>
      <c r="Z119" s="4"/>
      <c r="AA119" s="4"/>
      <c r="AB119" s="4"/>
    </row>
    <row r="120" spans="1:28" ht="13" x14ac:dyDescent="0.3">
      <c r="A120" s="4">
        <v>50</v>
      </c>
      <c r="B120" s="4">
        <v>0</v>
      </c>
      <c r="C120" s="4">
        <v>0</v>
      </c>
      <c r="D120" s="4">
        <v>1</v>
      </c>
      <c r="E120" s="4">
        <v>205</v>
      </c>
      <c r="F120" s="4">
        <f>ROUND(Source!S105,O120)</f>
        <v>4486544.3600000003</v>
      </c>
      <c r="G120" s="4" t="s">
        <v>132</v>
      </c>
      <c r="H120" s="4" t="s">
        <v>133</v>
      </c>
      <c r="I120" s="4"/>
      <c r="J120" s="4"/>
      <c r="K120" s="4">
        <v>205</v>
      </c>
      <c r="L120" s="4">
        <v>14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4486544.3600000003</v>
      </c>
      <c r="X120" s="4">
        <v>1</v>
      </c>
      <c r="Y120" s="4">
        <v>4486544.3600000003</v>
      </c>
      <c r="Z120" s="4"/>
      <c r="AA120" s="4"/>
      <c r="AB120" s="4"/>
    </row>
    <row r="121" spans="1:28" ht="13" x14ac:dyDescent="0.3">
      <c r="A121" s="4">
        <v>50</v>
      </c>
      <c r="B121" s="4">
        <v>0</v>
      </c>
      <c r="C121" s="4">
        <v>0</v>
      </c>
      <c r="D121" s="4">
        <v>1</v>
      </c>
      <c r="E121" s="4">
        <v>232</v>
      </c>
      <c r="F121" s="4">
        <f>ROUND(Source!BC105,O121)</f>
        <v>0</v>
      </c>
      <c r="G121" s="4" t="s">
        <v>134</v>
      </c>
      <c r="H121" s="4" t="s">
        <v>135</v>
      </c>
      <c r="I121" s="4"/>
      <c r="J121" s="4"/>
      <c r="K121" s="4">
        <v>232</v>
      </c>
      <c r="L121" s="4">
        <v>15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0</v>
      </c>
      <c r="X121" s="4">
        <v>1</v>
      </c>
      <c r="Y121" s="4">
        <v>0</v>
      </c>
      <c r="Z121" s="4"/>
      <c r="AA121" s="4"/>
      <c r="AB121" s="4"/>
    </row>
    <row r="122" spans="1:28" ht="13" x14ac:dyDescent="0.3">
      <c r="A122" s="4">
        <v>50</v>
      </c>
      <c r="B122" s="4">
        <v>0</v>
      </c>
      <c r="C122" s="4">
        <v>0</v>
      </c>
      <c r="D122" s="4">
        <v>1</v>
      </c>
      <c r="E122" s="4">
        <v>214</v>
      </c>
      <c r="F122" s="4">
        <f>ROUND(Source!AS105,O122)</f>
        <v>0</v>
      </c>
      <c r="G122" s="4" t="s">
        <v>136</v>
      </c>
      <c r="H122" s="4" t="s">
        <v>137</v>
      </c>
      <c r="I122" s="4"/>
      <c r="J122" s="4"/>
      <c r="K122" s="4">
        <v>214</v>
      </c>
      <c r="L122" s="4">
        <v>16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 ht="13" x14ac:dyDescent="0.3">
      <c r="A123" s="4">
        <v>50</v>
      </c>
      <c r="B123" s="4">
        <v>0</v>
      </c>
      <c r="C123" s="4">
        <v>0</v>
      </c>
      <c r="D123" s="4">
        <v>1</v>
      </c>
      <c r="E123" s="4">
        <v>215</v>
      </c>
      <c r="F123" s="4">
        <f>ROUND(Source!AT105,O123)</f>
        <v>0</v>
      </c>
      <c r="G123" s="4" t="s">
        <v>138</v>
      </c>
      <c r="H123" s="4" t="s">
        <v>139</v>
      </c>
      <c r="I123" s="4"/>
      <c r="J123" s="4"/>
      <c r="K123" s="4">
        <v>215</v>
      </c>
      <c r="L123" s="4">
        <v>17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4" spans="1:28" ht="13" x14ac:dyDescent="0.3">
      <c r="A124" s="4">
        <v>50</v>
      </c>
      <c r="B124" s="4">
        <v>0</v>
      </c>
      <c r="C124" s="4">
        <v>0</v>
      </c>
      <c r="D124" s="4">
        <v>1</v>
      </c>
      <c r="E124" s="4">
        <v>217</v>
      </c>
      <c r="F124" s="4">
        <f>ROUND(Source!AU105,O124)</f>
        <v>26677202.280000001</v>
      </c>
      <c r="G124" s="4" t="s">
        <v>140</v>
      </c>
      <c r="H124" s="4" t="s">
        <v>141</v>
      </c>
      <c r="I124" s="4"/>
      <c r="J124" s="4"/>
      <c r="K124" s="4">
        <v>217</v>
      </c>
      <c r="L124" s="4">
        <v>18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26677202.280000001</v>
      </c>
      <c r="X124" s="4">
        <v>1</v>
      </c>
      <c r="Y124" s="4">
        <v>26677202.280000001</v>
      </c>
      <c r="Z124" s="4"/>
      <c r="AA124" s="4"/>
      <c r="AB124" s="4"/>
    </row>
    <row r="125" spans="1:28" ht="13" x14ac:dyDescent="0.3">
      <c r="A125" s="4">
        <v>50</v>
      </c>
      <c r="B125" s="4">
        <v>0</v>
      </c>
      <c r="C125" s="4">
        <v>0</v>
      </c>
      <c r="D125" s="4">
        <v>1</v>
      </c>
      <c r="E125" s="4">
        <v>230</v>
      </c>
      <c r="F125" s="4">
        <f>ROUND(Source!BA105,O125)</f>
        <v>0</v>
      </c>
      <c r="G125" s="4" t="s">
        <v>142</v>
      </c>
      <c r="H125" s="4" t="s">
        <v>143</v>
      </c>
      <c r="I125" s="4"/>
      <c r="J125" s="4"/>
      <c r="K125" s="4">
        <v>230</v>
      </c>
      <c r="L125" s="4">
        <v>19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8" ht="13" x14ac:dyDescent="0.3">
      <c r="A126" s="4">
        <v>50</v>
      </c>
      <c r="B126" s="4">
        <v>0</v>
      </c>
      <c r="C126" s="4">
        <v>0</v>
      </c>
      <c r="D126" s="4">
        <v>1</v>
      </c>
      <c r="E126" s="4">
        <v>206</v>
      </c>
      <c r="F126" s="4">
        <f>ROUND(Source!T105,O126)</f>
        <v>0</v>
      </c>
      <c r="G126" s="4" t="s">
        <v>144</v>
      </c>
      <c r="H126" s="4" t="s">
        <v>145</v>
      </c>
      <c r="I126" s="4"/>
      <c r="J126" s="4"/>
      <c r="K126" s="4">
        <v>206</v>
      </c>
      <c r="L126" s="4">
        <v>20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8" ht="13" x14ac:dyDescent="0.3">
      <c r="A127" s="4">
        <v>50</v>
      </c>
      <c r="B127" s="4">
        <v>0</v>
      </c>
      <c r="C127" s="4">
        <v>0</v>
      </c>
      <c r="D127" s="4">
        <v>1</v>
      </c>
      <c r="E127" s="4">
        <v>207</v>
      </c>
      <c r="F127" s="4">
        <f>Source!U105</f>
        <v>10340.769708000002</v>
      </c>
      <c r="G127" s="4" t="s">
        <v>146</v>
      </c>
      <c r="H127" s="4" t="s">
        <v>147</v>
      </c>
      <c r="I127" s="4"/>
      <c r="J127" s="4"/>
      <c r="K127" s="4">
        <v>207</v>
      </c>
      <c r="L127" s="4">
        <v>21</v>
      </c>
      <c r="M127" s="4">
        <v>3</v>
      </c>
      <c r="N127" s="4" t="s">
        <v>3</v>
      </c>
      <c r="O127" s="4">
        <v>-1</v>
      </c>
      <c r="P127" s="4"/>
      <c r="Q127" s="4"/>
      <c r="R127" s="4"/>
      <c r="S127" s="4"/>
      <c r="T127" s="4"/>
      <c r="U127" s="4"/>
      <c r="V127" s="4"/>
      <c r="W127" s="4">
        <v>10340.769708000003</v>
      </c>
      <c r="X127" s="4">
        <v>1</v>
      </c>
      <c r="Y127" s="4">
        <v>10340.769708000003</v>
      </c>
      <c r="Z127" s="4"/>
      <c r="AA127" s="4"/>
      <c r="AB127" s="4"/>
    </row>
    <row r="128" spans="1:28" ht="13" x14ac:dyDescent="0.3">
      <c r="A128" s="4">
        <v>50</v>
      </c>
      <c r="B128" s="4">
        <v>0</v>
      </c>
      <c r="C128" s="4">
        <v>0</v>
      </c>
      <c r="D128" s="4">
        <v>1</v>
      </c>
      <c r="E128" s="4">
        <v>208</v>
      </c>
      <c r="F128" s="4">
        <f>Source!V105</f>
        <v>0</v>
      </c>
      <c r="G128" s="4" t="s">
        <v>148</v>
      </c>
      <c r="H128" s="4" t="s">
        <v>149</v>
      </c>
      <c r="I128" s="4"/>
      <c r="J128" s="4"/>
      <c r="K128" s="4">
        <v>208</v>
      </c>
      <c r="L128" s="4">
        <v>22</v>
      </c>
      <c r="M128" s="4">
        <v>3</v>
      </c>
      <c r="N128" s="4" t="s">
        <v>3</v>
      </c>
      <c r="O128" s="4">
        <v>-1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45" ht="13" x14ac:dyDescent="0.3">
      <c r="A129" s="4">
        <v>50</v>
      </c>
      <c r="B129" s="4">
        <v>0</v>
      </c>
      <c r="C129" s="4">
        <v>0</v>
      </c>
      <c r="D129" s="4">
        <v>1</v>
      </c>
      <c r="E129" s="4">
        <v>209</v>
      </c>
      <c r="F129" s="4">
        <f>ROUND(Source!W105,O129)</f>
        <v>0</v>
      </c>
      <c r="G129" s="4" t="s">
        <v>150</v>
      </c>
      <c r="H129" s="4" t="s">
        <v>151</v>
      </c>
      <c r="I129" s="4"/>
      <c r="J129" s="4"/>
      <c r="K129" s="4">
        <v>209</v>
      </c>
      <c r="L129" s="4">
        <v>23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45" ht="13" x14ac:dyDescent="0.3">
      <c r="A130" s="4">
        <v>50</v>
      </c>
      <c r="B130" s="4">
        <v>0</v>
      </c>
      <c r="C130" s="4">
        <v>0</v>
      </c>
      <c r="D130" s="4">
        <v>1</v>
      </c>
      <c r="E130" s="4">
        <v>233</v>
      </c>
      <c r="F130" s="4">
        <f>ROUND(Source!BD105,O130)</f>
        <v>0</v>
      </c>
      <c r="G130" s="4" t="s">
        <v>152</v>
      </c>
      <c r="H130" s="4" t="s">
        <v>153</v>
      </c>
      <c r="I130" s="4"/>
      <c r="J130" s="4"/>
      <c r="K130" s="4">
        <v>233</v>
      </c>
      <c r="L130" s="4">
        <v>24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45" ht="13" x14ac:dyDescent="0.3">
      <c r="A131" s="4">
        <v>50</v>
      </c>
      <c r="B131" s="4">
        <v>0</v>
      </c>
      <c r="C131" s="4">
        <v>0</v>
      </c>
      <c r="D131" s="4">
        <v>1</v>
      </c>
      <c r="E131" s="4">
        <v>210</v>
      </c>
      <c r="F131" s="4">
        <f>ROUND(Source!X105,O131)</f>
        <v>3140581.05</v>
      </c>
      <c r="G131" s="4" t="s">
        <v>154</v>
      </c>
      <c r="H131" s="4" t="s">
        <v>155</v>
      </c>
      <c r="I131" s="4"/>
      <c r="J131" s="4"/>
      <c r="K131" s="4">
        <v>210</v>
      </c>
      <c r="L131" s="4">
        <v>25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3140581.05</v>
      </c>
      <c r="X131" s="4">
        <v>1</v>
      </c>
      <c r="Y131" s="4">
        <v>3140581.05</v>
      </c>
      <c r="Z131" s="4"/>
      <c r="AA131" s="4"/>
      <c r="AB131" s="4"/>
    </row>
    <row r="132" spans="1:245" ht="13" x14ac:dyDescent="0.3">
      <c r="A132" s="4">
        <v>50</v>
      </c>
      <c r="B132" s="4">
        <v>0</v>
      </c>
      <c r="C132" s="4">
        <v>0</v>
      </c>
      <c r="D132" s="4">
        <v>1</v>
      </c>
      <c r="E132" s="4">
        <v>211</v>
      </c>
      <c r="F132" s="4">
        <f>ROUND(Source!Y105,O132)</f>
        <v>448654.44</v>
      </c>
      <c r="G132" s="4" t="s">
        <v>156</v>
      </c>
      <c r="H132" s="4" t="s">
        <v>157</v>
      </c>
      <c r="I132" s="4"/>
      <c r="J132" s="4"/>
      <c r="K132" s="4">
        <v>211</v>
      </c>
      <c r="L132" s="4">
        <v>26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448654.44</v>
      </c>
      <c r="X132" s="4">
        <v>1</v>
      </c>
      <c r="Y132" s="4">
        <v>448654.44</v>
      </c>
      <c r="Z132" s="4"/>
      <c r="AA132" s="4"/>
      <c r="AB132" s="4"/>
    </row>
    <row r="133" spans="1:245" ht="13" x14ac:dyDescent="0.3">
      <c r="A133" s="4">
        <v>50</v>
      </c>
      <c r="B133" s="4">
        <v>0</v>
      </c>
      <c r="C133" s="4">
        <v>0</v>
      </c>
      <c r="D133" s="4">
        <v>1</v>
      </c>
      <c r="E133" s="4">
        <v>224</v>
      </c>
      <c r="F133" s="4">
        <f>ROUND(Source!AR105,O133)</f>
        <v>26677202.280000001</v>
      </c>
      <c r="G133" s="4" t="s">
        <v>158</v>
      </c>
      <c r="H133" s="4" t="s">
        <v>159</v>
      </c>
      <c r="I133" s="4"/>
      <c r="J133" s="4"/>
      <c r="K133" s="4">
        <v>224</v>
      </c>
      <c r="L133" s="4">
        <v>27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26677202.280000001</v>
      </c>
      <c r="X133" s="4">
        <v>1</v>
      </c>
      <c r="Y133" s="4">
        <v>26677202.280000001</v>
      </c>
      <c r="Z133" s="4"/>
      <c r="AA133" s="4"/>
      <c r="AB133" s="4"/>
    </row>
    <row r="135" spans="1:245" ht="13" x14ac:dyDescent="0.3">
      <c r="A135" s="1">
        <v>5</v>
      </c>
      <c r="B135" s="1">
        <v>1</v>
      </c>
      <c r="C135" s="1"/>
      <c r="D135" s="1">
        <f>ROW(A159)</f>
        <v>159</v>
      </c>
      <c r="E135" s="1"/>
      <c r="F135" s="1" t="s">
        <v>16</v>
      </c>
      <c r="G135" s="1" t="s">
        <v>400</v>
      </c>
      <c r="H135" s="1" t="s">
        <v>3</v>
      </c>
      <c r="I135" s="1">
        <v>0</v>
      </c>
      <c r="J135" s="1"/>
      <c r="K135" s="1">
        <v>0</v>
      </c>
      <c r="L135" s="1"/>
      <c r="M135" s="1" t="s">
        <v>3</v>
      </c>
      <c r="N135" s="1"/>
      <c r="O135" s="1"/>
      <c r="P135" s="1"/>
      <c r="Q135" s="1"/>
      <c r="R135" s="1"/>
      <c r="S135" s="1">
        <v>0</v>
      </c>
      <c r="T135" s="1"/>
      <c r="U135" s="1" t="s">
        <v>3</v>
      </c>
      <c r="V135" s="1">
        <v>0</v>
      </c>
      <c r="W135" s="1"/>
      <c r="X135" s="1"/>
      <c r="Y135" s="1"/>
      <c r="Z135" s="1"/>
      <c r="AA135" s="1"/>
      <c r="AB135" s="1" t="s">
        <v>3</v>
      </c>
      <c r="AC135" s="1" t="s">
        <v>3</v>
      </c>
      <c r="AD135" s="1" t="s">
        <v>3</v>
      </c>
      <c r="AE135" s="1" t="s">
        <v>3</v>
      </c>
      <c r="AF135" s="1" t="s">
        <v>3</v>
      </c>
      <c r="AG135" s="1" t="s">
        <v>3</v>
      </c>
      <c r="AH135" s="1"/>
      <c r="AI135" s="1"/>
      <c r="AJ135" s="1"/>
      <c r="AK135" s="1"/>
      <c r="AL135" s="1"/>
      <c r="AM135" s="1"/>
      <c r="AN135" s="1"/>
      <c r="AO135" s="1"/>
      <c r="AP135" s="1" t="s">
        <v>3</v>
      </c>
      <c r="AQ135" s="1" t="s">
        <v>3</v>
      </c>
      <c r="AR135" s="1" t="s">
        <v>3</v>
      </c>
      <c r="AS135" s="1"/>
      <c r="AT135" s="1"/>
      <c r="AU135" s="1"/>
      <c r="AV135" s="1"/>
      <c r="AW135" s="1"/>
      <c r="AX135" s="1"/>
      <c r="AY135" s="1"/>
      <c r="AZ135" s="1" t="s">
        <v>3</v>
      </c>
      <c r="BA135" s="1"/>
      <c r="BB135" s="1" t="s">
        <v>3</v>
      </c>
      <c r="BC135" s="1" t="s">
        <v>3</v>
      </c>
      <c r="BD135" s="1" t="s">
        <v>3</v>
      </c>
      <c r="BE135" s="1" t="s">
        <v>3</v>
      </c>
      <c r="BF135" s="1" t="s">
        <v>3</v>
      </c>
      <c r="BG135" s="1" t="s">
        <v>3</v>
      </c>
      <c r="BH135" s="1" t="s">
        <v>3</v>
      </c>
      <c r="BI135" s="1" t="s">
        <v>3</v>
      </c>
      <c r="BJ135" s="1" t="s">
        <v>3</v>
      </c>
      <c r="BK135" s="1" t="s">
        <v>3</v>
      </c>
      <c r="BL135" s="1" t="s">
        <v>3</v>
      </c>
      <c r="BM135" s="1" t="s">
        <v>3</v>
      </c>
      <c r="BN135" s="1" t="s">
        <v>3</v>
      </c>
      <c r="BO135" s="1" t="s">
        <v>3</v>
      </c>
      <c r="BP135" s="1" t="s">
        <v>3</v>
      </c>
      <c r="BQ135" s="1"/>
      <c r="BR135" s="1"/>
      <c r="BS135" s="1"/>
      <c r="BT135" s="1"/>
      <c r="BU135" s="1"/>
      <c r="BV135" s="1"/>
      <c r="BW135" s="1"/>
      <c r="BX135" s="1">
        <v>0</v>
      </c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>
        <v>0</v>
      </c>
    </row>
    <row r="137" spans="1:245" ht="13" x14ac:dyDescent="0.3">
      <c r="A137" s="2">
        <v>52</v>
      </c>
      <c r="B137" s="2">
        <f t="shared" ref="B137:G137" si="109">B159</f>
        <v>1</v>
      </c>
      <c r="C137" s="2">
        <f t="shared" si="109"/>
        <v>5</v>
      </c>
      <c r="D137" s="2">
        <f t="shared" si="109"/>
        <v>135</v>
      </c>
      <c r="E137" s="2">
        <f t="shared" si="109"/>
        <v>0</v>
      </c>
      <c r="F137" s="2" t="str">
        <f t="shared" si="109"/>
        <v>Новый подраздел</v>
      </c>
      <c r="G137" s="2" t="str">
        <f t="shared" si="109"/>
        <v>Подраздел: УХОД ЗА ЗЕЛЕНЫМИ НАСАЖДЕНИЯМИ</v>
      </c>
      <c r="H137" s="2"/>
      <c r="I137" s="2"/>
      <c r="J137" s="2"/>
      <c r="K137" s="2"/>
      <c r="L137" s="2"/>
      <c r="M137" s="2"/>
      <c r="N137" s="2"/>
      <c r="O137" s="2">
        <f t="shared" ref="O137:AT137" si="110">O159</f>
        <v>27690244.25</v>
      </c>
      <c r="P137" s="2">
        <f t="shared" si="110"/>
        <v>457077.63</v>
      </c>
      <c r="Q137" s="2">
        <f t="shared" si="110"/>
        <v>10400969.210000001</v>
      </c>
      <c r="R137" s="2">
        <f t="shared" si="110"/>
        <v>3493841.24</v>
      </c>
      <c r="S137" s="2">
        <f t="shared" si="110"/>
        <v>16832197.41</v>
      </c>
      <c r="T137" s="2">
        <f t="shared" si="110"/>
        <v>0</v>
      </c>
      <c r="U137" s="2">
        <f t="shared" si="110"/>
        <v>36968.757519999999</v>
      </c>
      <c r="V137" s="2">
        <f t="shared" si="110"/>
        <v>0</v>
      </c>
      <c r="W137" s="2">
        <f t="shared" si="110"/>
        <v>0</v>
      </c>
      <c r="X137" s="2">
        <f t="shared" si="110"/>
        <v>11782538.189999999</v>
      </c>
      <c r="Y137" s="2">
        <f t="shared" si="110"/>
        <v>1683219.73</v>
      </c>
      <c r="Z137" s="2">
        <f t="shared" si="110"/>
        <v>0</v>
      </c>
      <c r="AA137" s="2">
        <f t="shared" si="110"/>
        <v>0</v>
      </c>
      <c r="AB137" s="2">
        <f t="shared" si="110"/>
        <v>27690244.25</v>
      </c>
      <c r="AC137" s="2">
        <f t="shared" si="110"/>
        <v>457077.63</v>
      </c>
      <c r="AD137" s="2">
        <f t="shared" si="110"/>
        <v>10400969.210000001</v>
      </c>
      <c r="AE137" s="2">
        <f t="shared" si="110"/>
        <v>3493841.24</v>
      </c>
      <c r="AF137" s="2">
        <f t="shared" si="110"/>
        <v>16832197.41</v>
      </c>
      <c r="AG137" s="2">
        <f t="shared" si="110"/>
        <v>0</v>
      </c>
      <c r="AH137" s="2">
        <f t="shared" si="110"/>
        <v>36968.757519999999</v>
      </c>
      <c r="AI137" s="2">
        <f t="shared" si="110"/>
        <v>0</v>
      </c>
      <c r="AJ137" s="2">
        <f t="shared" si="110"/>
        <v>0</v>
      </c>
      <c r="AK137" s="2">
        <f t="shared" si="110"/>
        <v>11782538.189999999</v>
      </c>
      <c r="AL137" s="2">
        <f t="shared" si="110"/>
        <v>1683219.73</v>
      </c>
      <c r="AM137" s="2">
        <f t="shared" si="110"/>
        <v>0</v>
      </c>
      <c r="AN137" s="2">
        <f t="shared" si="110"/>
        <v>0</v>
      </c>
      <c r="AO137" s="2">
        <f t="shared" si="110"/>
        <v>0</v>
      </c>
      <c r="AP137" s="2">
        <f t="shared" si="110"/>
        <v>0</v>
      </c>
      <c r="AQ137" s="2">
        <f t="shared" si="110"/>
        <v>0</v>
      </c>
      <c r="AR137" s="2">
        <f t="shared" si="110"/>
        <v>44929350.710000001</v>
      </c>
      <c r="AS137" s="2">
        <f t="shared" si="110"/>
        <v>0</v>
      </c>
      <c r="AT137" s="2">
        <f t="shared" si="110"/>
        <v>0</v>
      </c>
      <c r="AU137" s="2">
        <f t="shared" ref="AU137:BZ137" si="111">AU159</f>
        <v>44929350.710000001</v>
      </c>
      <c r="AV137" s="2">
        <f t="shared" si="111"/>
        <v>457077.63</v>
      </c>
      <c r="AW137" s="2">
        <f t="shared" si="111"/>
        <v>457077.63</v>
      </c>
      <c r="AX137" s="2">
        <f t="shared" si="111"/>
        <v>0</v>
      </c>
      <c r="AY137" s="2">
        <f t="shared" si="111"/>
        <v>457077.63</v>
      </c>
      <c r="AZ137" s="2">
        <f t="shared" si="111"/>
        <v>0</v>
      </c>
      <c r="BA137" s="2">
        <f t="shared" si="111"/>
        <v>0</v>
      </c>
      <c r="BB137" s="2">
        <f t="shared" si="111"/>
        <v>0</v>
      </c>
      <c r="BC137" s="2">
        <f t="shared" si="111"/>
        <v>0</v>
      </c>
      <c r="BD137" s="2">
        <f t="shared" si="111"/>
        <v>0</v>
      </c>
      <c r="BE137" s="2">
        <f t="shared" si="111"/>
        <v>0</v>
      </c>
      <c r="BF137" s="2">
        <f t="shared" si="111"/>
        <v>0</v>
      </c>
      <c r="BG137" s="2">
        <f t="shared" si="111"/>
        <v>0</v>
      </c>
      <c r="BH137" s="2">
        <f t="shared" si="111"/>
        <v>0</v>
      </c>
      <c r="BI137" s="2">
        <f t="shared" si="111"/>
        <v>0</v>
      </c>
      <c r="BJ137" s="2">
        <f t="shared" si="111"/>
        <v>0</v>
      </c>
      <c r="BK137" s="2">
        <f t="shared" si="111"/>
        <v>0</v>
      </c>
      <c r="BL137" s="2">
        <f t="shared" si="111"/>
        <v>0</v>
      </c>
      <c r="BM137" s="2">
        <f t="shared" si="111"/>
        <v>0</v>
      </c>
      <c r="BN137" s="2">
        <f t="shared" si="111"/>
        <v>0</v>
      </c>
      <c r="BO137" s="2">
        <f t="shared" si="111"/>
        <v>0</v>
      </c>
      <c r="BP137" s="2">
        <f t="shared" si="111"/>
        <v>0</v>
      </c>
      <c r="BQ137" s="2">
        <f t="shared" si="111"/>
        <v>0</v>
      </c>
      <c r="BR137" s="2">
        <f t="shared" si="111"/>
        <v>0</v>
      </c>
      <c r="BS137" s="2">
        <f t="shared" si="111"/>
        <v>0</v>
      </c>
      <c r="BT137" s="2">
        <f t="shared" si="111"/>
        <v>0</v>
      </c>
      <c r="BU137" s="2">
        <f t="shared" si="111"/>
        <v>0</v>
      </c>
      <c r="BV137" s="2">
        <f t="shared" si="111"/>
        <v>0</v>
      </c>
      <c r="BW137" s="2">
        <f t="shared" si="111"/>
        <v>0</v>
      </c>
      <c r="BX137" s="2">
        <f t="shared" si="111"/>
        <v>0</v>
      </c>
      <c r="BY137" s="2">
        <f t="shared" si="111"/>
        <v>0</v>
      </c>
      <c r="BZ137" s="2">
        <f t="shared" si="111"/>
        <v>0</v>
      </c>
      <c r="CA137" s="2">
        <f t="shared" ref="CA137:DF137" si="112">CA159</f>
        <v>44929350.710000001</v>
      </c>
      <c r="CB137" s="2">
        <f t="shared" si="112"/>
        <v>0</v>
      </c>
      <c r="CC137" s="2">
        <f t="shared" si="112"/>
        <v>0</v>
      </c>
      <c r="CD137" s="2">
        <f t="shared" si="112"/>
        <v>44929350.710000001</v>
      </c>
      <c r="CE137" s="2">
        <f t="shared" si="112"/>
        <v>457077.63</v>
      </c>
      <c r="CF137" s="2">
        <f t="shared" si="112"/>
        <v>457077.63</v>
      </c>
      <c r="CG137" s="2">
        <f t="shared" si="112"/>
        <v>0</v>
      </c>
      <c r="CH137" s="2">
        <f t="shared" si="112"/>
        <v>457077.63</v>
      </c>
      <c r="CI137" s="2">
        <f t="shared" si="112"/>
        <v>0</v>
      </c>
      <c r="CJ137" s="2">
        <f t="shared" si="112"/>
        <v>0</v>
      </c>
      <c r="CK137" s="2">
        <f t="shared" si="112"/>
        <v>0</v>
      </c>
      <c r="CL137" s="2">
        <f t="shared" si="112"/>
        <v>0</v>
      </c>
      <c r="CM137" s="2">
        <f t="shared" si="112"/>
        <v>0</v>
      </c>
      <c r="CN137" s="2">
        <f t="shared" si="112"/>
        <v>0</v>
      </c>
      <c r="CO137" s="2">
        <f t="shared" si="112"/>
        <v>0</v>
      </c>
      <c r="CP137" s="2">
        <f t="shared" si="112"/>
        <v>0</v>
      </c>
      <c r="CQ137" s="2">
        <f t="shared" si="112"/>
        <v>0</v>
      </c>
      <c r="CR137" s="2">
        <f t="shared" si="112"/>
        <v>0</v>
      </c>
      <c r="CS137" s="2">
        <f t="shared" si="112"/>
        <v>0</v>
      </c>
      <c r="CT137" s="2">
        <f t="shared" si="112"/>
        <v>0</v>
      </c>
      <c r="CU137" s="2">
        <f t="shared" si="112"/>
        <v>0</v>
      </c>
      <c r="CV137" s="2">
        <f t="shared" si="112"/>
        <v>0</v>
      </c>
      <c r="CW137" s="2">
        <f t="shared" si="112"/>
        <v>0</v>
      </c>
      <c r="CX137" s="2">
        <f t="shared" si="112"/>
        <v>0</v>
      </c>
      <c r="CY137" s="2">
        <f t="shared" si="112"/>
        <v>0</v>
      </c>
      <c r="CZ137" s="2">
        <f t="shared" si="112"/>
        <v>0</v>
      </c>
      <c r="DA137" s="2">
        <f t="shared" si="112"/>
        <v>0</v>
      </c>
      <c r="DB137" s="2">
        <f t="shared" si="112"/>
        <v>0</v>
      </c>
      <c r="DC137" s="2">
        <f t="shared" si="112"/>
        <v>0</v>
      </c>
      <c r="DD137" s="2">
        <f t="shared" si="112"/>
        <v>0</v>
      </c>
      <c r="DE137" s="2">
        <f t="shared" si="112"/>
        <v>0</v>
      </c>
      <c r="DF137" s="2">
        <f t="shared" si="112"/>
        <v>0</v>
      </c>
      <c r="DG137" s="3">
        <f t="shared" ref="DG137:EL137" si="113">DG159</f>
        <v>0</v>
      </c>
      <c r="DH137" s="3">
        <f t="shared" si="113"/>
        <v>0</v>
      </c>
      <c r="DI137" s="3">
        <f t="shared" si="113"/>
        <v>0</v>
      </c>
      <c r="DJ137" s="3">
        <f t="shared" si="113"/>
        <v>0</v>
      </c>
      <c r="DK137" s="3">
        <f t="shared" si="113"/>
        <v>0</v>
      </c>
      <c r="DL137" s="3">
        <f t="shared" si="113"/>
        <v>0</v>
      </c>
      <c r="DM137" s="3">
        <f t="shared" si="113"/>
        <v>0</v>
      </c>
      <c r="DN137" s="3">
        <f t="shared" si="113"/>
        <v>0</v>
      </c>
      <c r="DO137" s="3">
        <f t="shared" si="113"/>
        <v>0</v>
      </c>
      <c r="DP137" s="3">
        <f t="shared" si="113"/>
        <v>0</v>
      </c>
      <c r="DQ137" s="3">
        <f t="shared" si="113"/>
        <v>0</v>
      </c>
      <c r="DR137" s="3">
        <f t="shared" si="113"/>
        <v>0</v>
      </c>
      <c r="DS137" s="3">
        <f t="shared" si="113"/>
        <v>0</v>
      </c>
      <c r="DT137" s="3">
        <f t="shared" si="113"/>
        <v>0</v>
      </c>
      <c r="DU137" s="3">
        <f t="shared" si="113"/>
        <v>0</v>
      </c>
      <c r="DV137" s="3">
        <f t="shared" si="113"/>
        <v>0</v>
      </c>
      <c r="DW137" s="3">
        <f t="shared" si="113"/>
        <v>0</v>
      </c>
      <c r="DX137" s="3">
        <f t="shared" si="113"/>
        <v>0</v>
      </c>
      <c r="DY137" s="3">
        <f t="shared" si="113"/>
        <v>0</v>
      </c>
      <c r="DZ137" s="3">
        <f t="shared" si="113"/>
        <v>0</v>
      </c>
      <c r="EA137" s="3">
        <f t="shared" si="113"/>
        <v>0</v>
      </c>
      <c r="EB137" s="3">
        <f t="shared" si="113"/>
        <v>0</v>
      </c>
      <c r="EC137" s="3">
        <f t="shared" si="113"/>
        <v>0</v>
      </c>
      <c r="ED137" s="3">
        <f t="shared" si="113"/>
        <v>0</v>
      </c>
      <c r="EE137" s="3">
        <f t="shared" si="113"/>
        <v>0</v>
      </c>
      <c r="EF137" s="3">
        <f t="shared" si="113"/>
        <v>0</v>
      </c>
      <c r="EG137" s="3">
        <f t="shared" si="113"/>
        <v>0</v>
      </c>
      <c r="EH137" s="3">
        <f t="shared" si="113"/>
        <v>0</v>
      </c>
      <c r="EI137" s="3">
        <f t="shared" si="113"/>
        <v>0</v>
      </c>
      <c r="EJ137" s="3">
        <f t="shared" si="113"/>
        <v>0</v>
      </c>
      <c r="EK137" s="3">
        <f t="shared" si="113"/>
        <v>0</v>
      </c>
      <c r="EL137" s="3">
        <f t="shared" si="113"/>
        <v>0</v>
      </c>
      <c r="EM137" s="3">
        <f t="shared" ref="EM137:FR137" si="114">EM159</f>
        <v>0</v>
      </c>
      <c r="EN137" s="3">
        <f t="shared" si="114"/>
        <v>0</v>
      </c>
      <c r="EO137" s="3">
        <f t="shared" si="114"/>
        <v>0</v>
      </c>
      <c r="EP137" s="3">
        <f t="shared" si="114"/>
        <v>0</v>
      </c>
      <c r="EQ137" s="3">
        <f t="shared" si="114"/>
        <v>0</v>
      </c>
      <c r="ER137" s="3">
        <f t="shared" si="114"/>
        <v>0</v>
      </c>
      <c r="ES137" s="3">
        <f t="shared" si="114"/>
        <v>0</v>
      </c>
      <c r="ET137" s="3">
        <f t="shared" si="114"/>
        <v>0</v>
      </c>
      <c r="EU137" s="3">
        <f t="shared" si="114"/>
        <v>0</v>
      </c>
      <c r="EV137" s="3">
        <f t="shared" si="114"/>
        <v>0</v>
      </c>
      <c r="EW137" s="3">
        <f t="shared" si="114"/>
        <v>0</v>
      </c>
      <c r="EX137" s="3">
        <f t="shared" si="114"/>
        <v>0</v>
      </c>
      <c r="EY137" s="3">
        <f t="shared" si="114"/>
        <v>0</v>
      </c>
      <c r="EZ137" s="3">
        <f t="shared" si="114"/>
        <v>0</v>
      </c>
      <c r="FA137" s="3">
        <f t="shared" si="114"/>
        <v>0</v>
      </c>
      <c r="FB137" s="3">
        <f t="shared" si="114"/>
        <v>0</v>
      </c>
      <c r="FC137" s="3">
        <f t="shared" si="114"/>
        <v>0</v>
      </c>
      <c r="FD137" s="3">
        <f t="shared" si="114"/>
        <v>0</v>
      </c>
      <c r="FE137" s="3">
        <f t="shared" si="114"/>
        <v>0</v>
      </c>
      <c r="FF137" s="3">
        <f t="shared" si="114"/>
        <v>0</v>
      </c>
      <c r="FG137" s="3">
        <f t="shared" si="114"/>
        <v>0</v>
      </c>
      <c r="FH137" s="3">
        <f t="shared" si="114"/>
        <v>0</v>
      </c>
      <c r="FI137" s="3">
        <f t="shared" si="114"/>
        <v>0</v>
      </c>
      <c r="FJ137" s="3">
        <f t="shared" si="114"/>
        <v>0</v>
      </c>
      <c r="FK137" s="3">
        <f t="shared" si="114"/>
        <v>0</v>
      </c>
      <c r="FL137" s="3">
        <f t="shared" si="114"/>
        <v>0</v>
      </c>
      <c r="FM137" s="3">
        <f t="shared" si="114"/>
        <v>0</v>
      </c>
      <c r="FN137" s="3">
        <f t="shared" si="114"/>
        <v>0</v>
      </c>
      <c r="FO137" s="3">
        <f t="shared" si="114"/>
        <v>0</v>
      </c>
      <c r="FP137" s="3">
        <f t="shared" si="114"/>
        <v>0</v>
      </c>
      <c r="FQ137" s="3">
        <f t="shared" si="114"/>
        <v>0</v>
      </c>
      <c r="FR137" s="3">
        <f t="shared" si="114"/>
        <v>0</v>
      </c>
      <c r="FS137" s="3">
        <f t="shared" ref="FS137:GX137" si="115">FS159</f>
        <v>0</v>
      </c>
      <c r="FT137" s="3">
        <f t="shared" si="115"/>
        <v>0</v>
      </c>
      <c r="FU137" s="3">
        <f t="shared" si="115"/>
        <v>0</v>
      </c>
      <c r="FV137" s="3">
        <f t="shared" si="115"/>
        <v>0</v>
      </c>
      <c r="FW137" s="3">
        <f t="shared" si="115"/>
        <v>0</v>
      </c>
      <c r="FX137" s="3">
        <f t="shared" si="115"/>
        <v>0</v>
      </c>
      <c r="FY137" s="3">
        <f t="shared" si="115"/>
        <v>0</v>
      </c>
      <c r="FZ137" s="3">
        <f t="shared" si="115"/>
        <v>0</v>
      </c>
      <c r="GA137" s="3">
        <f t="shared" si="115"/>
        <v>0</v>
      </c>
      <c r="GB137" s="3">
        <f t="shared" si="115"/>
        <v>0</v>
      </c>
      <c r="GC137" s="3">
        <f t="shared" si="115"/>
        <v>0</v>
      </c>
      <c r="GD137" s="3">
        <f t="shared" si="115"/>
        <v>0</v>
      </c>
      <c r="GE137" s="3">
        <f t="shared" si="115"/>
        <v>0</v>
      </c>
      <c r="GF137" s="3">
        <f t="shared" si="115"/>
        <v>0</v>
      </c>
      <c r="GG137" s="3">
        <f t="shared" si="115"/>
        <v>0</v>
      </c>
      <c r="GH137" s="3">
        <f t="shared" si="115"/>
        <v>0</v>
      </c>
      <c r="GI137" s="3">
        <f t="shared" si="115"/>
        <v>0</v>
      </c>
      <c r="GJ137" s="3">
        <f t="shared" si="115"/>
        <v>0</v>
      </c>
      <c r="GK137" s="3">
        <f t="shared" si="115"/>
        <v>0</v>
      </c>
      <c r="GL137" s="3">
        <f t="shared" si="115"/>
        <v>0</v>
      </c>
      <c r="GM137" s="3">
        <f t="shared" si="115"/>
        <v>0</v>
      </c>
      <c r="GN137" s="3">
        <f t="shared" si="115"/>
        <v>0</v>
      </c>
      <c r="GO137" s="3">
        <f t="shared" si="115"/>
        <v>0</v>
      </c>
      <c r="GP137" s="3">
        <f t="shared" si="115"/>
        <v>0</v>
      </c>
      <c r="GQ137" s="3">
        <f t="shared" si="115"/>
        <v>0</v>
      </c>
      <c r="GR137" s="3">
        <f t="shared" si="115"/>
        <v>0</v>
      </c>
      <c r="GS137" s="3">
        <f t="shared" si="115"/>
        <v>0</v>
      </c>
      <c r="GT137" s="3">
        <f t="shared" si="115"/>
        <v>0</v>
      </c>
      <c r="GU137" s="3">
        <f t="shared" si="115"/>
        <v>0</v>
      </c>
      <c r="GV137" s="3">
        <f t="shared" si="115"/>
        <v>0</v>
      </c>
      <c r="GW137" s="3">
        <f t="shared" si="115"/>
        <v>0</v>
      </c>
      <c r="GX137" s="3">
        <f t="shared" si="115"/>
        <v>0</v>
      </c>
    </row>
    <row r="139" spans="1:245" x14ac:dyDescent="0.25">
      <c r="A139">
        <v>17</v>
      </c>
      <c r="B139">
        <v>1</v>
      </c>
      <c r="C139">
        <f>ROW(SmtRes!A56)</f>
        <v>56</v>
      </c>
      <c r="D139">
        <f>ROW(EtalonRes!A56)</f>
        <v>56</v>
      </c>
      <c r="E139" t="s">
        <v>201</v>
      </c>
      <c r="F139" t="s">
        <v>202</v>
      </c>
      <c r="G139" t="s">
        <v>203</v>
      </c>
      <c r="H139" t="s">
        <v>29</v>
      </c>
      <c r="I139">
        <f>ROUND(61891/100,9)</f>
        <v>618.91</v>
      </c>
      <c r="J139">
        <v>0</v>
      </c>
      <c r="K139">
        <f>ROUND(61891/100,9)</f>
        <v>618.91</v>
      </c>
      <c r="O139">
        <f t="shared" ref="O139:O157" si="116">ROUND(CP139,2)</f>
        <v>169822.72</v>
      </c>
      <c r="P139">
        <f t="shared" ref="P139:P157" si="117">ROUND(CQ139*I139,2)</f>
        <v>0</v>
      </c>
      <c r="Q139">
        <f t="shared" ref="Q139:Q157" si="118">ROUND(CR139*I139,2)</f>
        <v>4357.13</v>
      </c>
      <c r="R139">
        <f t="shared" ref="R139:R157" si="119">ROUND(CS139*I139,2)</f>
        <v>43.32</v>
      </c>
      <c r="S139">
        <f t="shared" ref="S139:S157" si="120">ROUND(CT139*I139,2)</f>
        <v>165465.59</v>
      </c>
      <c r="T139">
        <f t="shared" ref="T139:T157" si="121">ROUND(CU139*I139,2)</f>
        <v>0</v>
      </c>
      <c r="U139">
        <f t="shared" ref="U139:U157" si="122">CV139*I139</f>
        <v>365.15689999999995</v>
      </c>
      <c r="V139">
        <f t="shared" ref="V139:V157" si="123">CW139*I139</f>
        <v>0</v>
      </c>
      <c r="W139">
        <f t="shared" ref="W139:W157" si="124">ROUND(CX139*I139,2)</f>
        <v>0</v>
      </c>
      <c r="X139">
        <f t="shared" ref="X139:X157" si="125">ROUND(CY139,2)</f>
        <v>115825.91</v>
      </c>
      <c r="Y139">
        <f t="shared" ref="Y139:Y157" si="126">ROUND(CZ139,2)</f>
        <v>16546.560000000001</v>
      </c>
      <c r="AA139">
        <v>80889732</v>
      </c>
      <c r="AB139">
        <f t="shared" ref="AB139:AB157" si="127">ROUND((AC139+AD139+AF139),6)</f>
        <v>274.39</v>
      </c>
      <c r="AC139">
        <f>ROUND((ES139),6)</f>
        <v>0</v>
      </c>
      <c r="AD139">
        <f>ROUND((((ET139)-(EU139))+AE139),6)</f>
        <v>7.04</v>
      </c>
      <c r="AE139">
        <f t="shared" ref="AE139:AF141" si="128">ROUND((EU139),6)</f>
        <v>7.0000000000000007E-2</v>
      </c>
      <c r="AF139">
        <f t="shared" si="128"/>
        <v>267.35000000000002</v>
      </c>
      <c r="AG139">
        <f t="shared" ref="AG139:AG157" si="129">ROUND((AP139),6)</f>
        <v>0</v>
      </c>
      <c r="AH139">
        <f t="shared" ref="AH139:AI141" si="130">(EW139)</f>
        <v>0.59</v>
      </c>
      <c r="AI139">
        <f t="shared" si="130"/>
        <v>0</v>
      </c>
      <c r="AJ139">
        <f t="shared" ref="AJ139:AJ157" si="131">(AS139)</f>
        <v>0</v>
      </c>
      <c r="AK139">
        <v>274.39</v>
      </c>
      <c r="AL139">
        <v>0</v>
      </c>
      <c r="AM139">
        <v>7.04</v>
      </c>
      <c r="AN139">
        <v>7.0000000000000007E-2</v>
      </c>
      <c r="AO139">
        <v>267.35000000000002</v>
      </c>
      <c r="AP139">
        <v>0</v>
      </c>
      <c r="AQ139">
        <v>0.59</v>
      </c>
      <c r="AR139">
        <v>0</v>
      </c>
      <c r="AS139">
        <v>0</v>
      </c>
      <c r="AT139">
        <v>70</v>
      </c>
      <c r="AU139">
        <v>10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1</v>
      </c>
      <c r="BD139" t="s">
        <v>3</v>
      </c>
      <c r="BE139" t="s">
        <v>3</v>
      </c>
      <c r="BF139" t="s">
        <v>3</v>
      </c>
      <c r="BG139" t="s">
        <v>3</v>
      </c>
      <c r="BH139">
        <v>0</v>
      </c>
      <c r="BI139">
        <v>4</v>
      </c>
      <c r="BJ139" t="s">
        <v>204</v>
      </c>
      <c r="BM139">
        <v>0</v>
      </c>
      <c r="BN139">
        <v>0</v>
      </c>
      <c r="BO139" t="s">
        <v>3</v>
      </c>
      <c r="BP139">
        <v>0</v>
      </c>
      <c r="BQ139">
        <v>1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70</v>
      </c>
      <c r="CA139">
        <v>10</v>
      </c>
      <c r="CB139" t="s">
        <v>3</v>
      </c>
      <c r="CE139">
        <v>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ref="CP139:CP157" si="132">(P139+Q139+S139)</f>
        <v>169822.72</v>
      </c>
      <c r="CQ139">
        <f t="shared" ref="CQ139:CQ157" si="133">(AC139*BC139*AW139)</f>
        <v>0</v>
      </c>
      <c r="CR139">
        <f>((((ET139)*BB139-(EU139)*BS139)+AE139*BS139)*AV139)</f>
        <v>7.04</v>
      </c>
      <c r="CS139">
        <f t="shared" ref="CS139:CS157" si="134">(AE139*BS139*AV139)</f>
        <v>7.0000000000000007E-2</v>
      </c>
      <c r="CT139">
        <f t="shared" ref="CT139:CT157" si="135">(AF139*BA139*AV139)</f>
        <v>267.35000000000002</v>
      </c>
      <c r="CU139">
        <f t="shared" ref="CU139:CU157" si="136">AG139</f>
        <v>0</v>
      </c>
      <c r="CV139">
        <f t="shared" ref="CV139:CV157" si="137">(AH139*AV139)</f>
        <v>0.59</v>
      </c>
      <c r="CW139">
        <f t="shared" ref="CW139:CW157" si="138">AI139</f>
        <v>0</v>
      </c>
      <c r="CX139">
        <f t="shared" ref="CX139:CX157" si="139">AJ139</f>
        <v>0</v>
      </c>
      <c r="CY139">
        <f t="shared" ref="CY139:CY157" si="140">((S139*BZ139)/100)</f>
        <v>115825.91299999999</v>
      </c>
      <c r="CZ139">
        <f t="shared" ref="CZ139:CZ157" si="141">((S139*CA139)/100)</f>
        <v>16546.558999999997</v>
      </c>
      <c r="DC139" t="s">
        <v>3</v>
      </c>
      <c r="DD139" t="s">
        <v>3</v>
      </c>
      <c r="DE139" t="s">
        <v>3</v>
      </c>
      <c r="DF139" t="s">
        <v>3</v>
      </c>
      <c r="DG139" t="s">
        <v>3</v>
      </c>
      <c r="DH139" t="s">
        <v>3</v>
      </c>
      <c r="DI139" t="s">
        <v>3</v>
      </c>
      <c r="DJ139" t="s">
        <v>3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1005</v>
      </c>
      <c r="DV139" t="s">
        <v>29</v>
      </c>
      <c r="DW139" t="s">
        <v>29</v>
      </c>
      <c r="DX139">
        <v>100</v>
      </c>
      <c r="DZ139" t="s">
        <v>3</v>
      </c>
      <c r="EA139" t="s">
        <v>3</v>
      </c>
      <c r="EB139" t="s">
        <v>3</v>
      </c>
      <c r="EC139" t="s">
        <v>3</v>
      </c>
      <c r="EE139">
        <v>80196140</v>
      </c>
      <c r="EF139">
        <v>1</v>
      </c>
      <c r="EG139" t="s">
        <v>23</v>
      </c>
      <c r="EH139">
        <v>0</v>
      </c>
      <c r="EI139" t="s">
        <v>3</v>
      </c>
      <c r="EJ139">
        <v>4</v>
      </c>
      <c r="EK139">
        <v>0</v>
      </c>
      <c r="EL139" t="s">
        <v>24</v>
      </c>
      <c r="EM139" t="s">
        <v>25</v>
      </c>
      <c r="EO139" t="s">
        <v>3</v>
      </c>
      <c r="EQ139">
        <v>0</v>
      </c>
      <c r="ER139">
        <v>274.39</v>
      </c>
      <c r="ES139">
        <v>0</v>
      </c>
      <c r="ET139">
        <v>7.04</v>
      </c>
      <c r="EU139">
        <v>7.0000000000000007E-2</v>
      </c>
      <c r="EV139">
        <v>267.35000000000002</v>
      </c>
      <c r="EW139">
        <v>0.59</v>
      </c>
      <c r="EX139">
        <v>0</v>
      </c>
      <c r="EY139">
        <v>0</v>
      </c>
      <c r="FQ139">
        <v>0</v>
      </c>
      <c r="FR139">
        <v>0</v>
      </c>
      <c r="FS139">
        <v>0</v>
      </c>
      <c r="FX139">
        <v>70</v>
      </c>
      <c r="FY139">
        <v>10</v>
      </c>
      <c r="GA139" t="s">
        <v>3</v>
      </c>
      <c r="GD139">
        <v>0</v>
      </c>
      <c r="GF139">
        <v>-1162331486</v>
      </c>
      <c r="GG139">
        <v>2</v>
      </c>
      <c r="GH139">
        <v>1</v>
      </c>
      <c r="GI139">
        <v>-2</v>
      </c>
      <c r="GJ139">
        <v>0</v>
      </c>
      <c r="GK139">
        <f>ROUND(R139*(R12)/100,2)</f>
        <v>46.79</v>
      </c>
      <c r="GL139">
        <f t="shared" ref="GL139:GL157" si="142">ROUND(IF(AND(BH139=3,BI139=3,FS139&lt;&gt;0),P139,0),2)</f>
        <v>0</v>
      </c>
      <c r="GM139">
        <f t="shared" ref="GM139:GM157" si="143">ROUND(O139+X139+Y139+GK139,2)+GX139</f>
        <v>302241.98</v>
      </c>
      <c r="GN139">
        <f t="shared" ref="GN139:GN157" si="144">IF(OR(BI139=0,BI139=1),GM139-GX139,0)</f>
        <v>0</v>
      </c>
      <c r="GO139">
        <f t="shared" ref="GO139:GO157" si="145">IF(BI139=2,GM139-GX139,0)</f>
        <v>0</v>
      </c>
      <c r="GP139">
        <f t="shared" ref="GP139:GP157" si="146">IF(BI139=4,GM139-GX139,0)</f>
        <v>302241.98</v>
      </c>
      <c r="GR139">
        <v>0</v>
      </c>
      <c r="GS139">
        <v>3</v>
      </c>
      <c r="GT139">
        <v>0</v>
      </c>
      <c r="GU139" t="s">
        <v>3</v>
      </c>
      <c r="GV139">
        <f t="shared" ref="GV139:GV157" si="147">ROUND((GT139),6)</f>
        <v>0</v>
      </c>
      <c r="GW139">
        <v>1</v>
      </c>
      <c r="GX139">
        <f t="shared" ref="GX139:GX157" si="148">ROUND(HC139*I139,2)</f>
        <v>0</v>
      </c>
      <c r="HA139">
        <v>0</v>
      </c>
      <c r="HB139">
        <v>0</v>
      </c>
      <c r="HC139">
        <f t="shared" ref="HC139:HC157" si="149">GV139*GW139</f>
        <v>0</v>
      </c>
      <c r="HE139" t="s">
        <v>3</v>
      </c>
      <c r="HF139" t="s">
        <v>3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HS139">
        <v>0</v>
      </c>
      <c r="IK139">
        <v>0</v>
      </c>
    </row>
    <row r="140" spans="1:245" x14ac:dyDescent="0.25">
      <c r="A140">
        <v>17</v>
      </c>
      <c r="B140">
        <v>1</v>
      </c>
      <c r="C140">
        <f>ROW(SmtRes!A57)</f>
        <v>57</v>
      </c>
      <c r="D140">
        <f>ROW(EtalonRes!A57)</f>
        <v>57</v>
      </c>
      <c r="E140" t="s">
        <v>205</v>
      </c>
      <c r="F140" t="s">
        <v>206</v>
      </c>
      <c r="G140" t="s">
        <v>207</v>
      </c>
      <c r="H140" t="s">
        <v>29</v>
      </c>
      <c r="I140">
        <f>ROUND(12378.2/100,9)</f>
        <v>123.782</v>
      </c>
      <c r="J140">
        <v>0</v>
      </c>
      <c r="K140">
        <f>ROUND(12378.2/100,9)</f>
        <v>123.782</v>
      </c>
      <c r="O140">
        <f t="shared" si="116"/>
        <v>89744.43</v>
      </c>
      <c r="P140">
        <f t="shared" si="117"/>
        <v>0</v>
      </c>
      <c r="Q140">
        <f t="shared" si="118"/>
        <v>0</v>
      </c>
      <c r="R140">
        <f t="shared" si="119"/>
        <v>0</v>
      </c>
      <c r="S140">
        <f t="shared" si="120"/>
        <v>89744.43</v>
      </c>
      <c r="T140">
        <f t="shared" si="121"/>
        <v>0</v>
      </c>
      <c r="U140">
        <f t="shared" si="122"/>
        <v>198.05119999999999</v>
      </c>
      <c r="V140">
        <f t="shared" si="123"/>
        <v>0</v>
      </c>
      <c r="W140">
        <f t="shared" si="124"/>
        <v>0</v>
      </c>
      <c r="X140">
        <f t="shared" si="125"/>
        <v>62821.1</v>
      </c>
      <c r="Y140">
        <f t="shared" si="126"/>
        <v>8974.44</v>
      </c>
      <c r="AA140">
        <v>80889732</v>
      </c>
      <c r="AB140">
        <f t="shared" si="127"/>
        <v>725.02</v>
      </c>
      <c r="AC140">
        <f>ROUND((ES140),6)</f>
        <v>0</v>
      </c>
      <c r="AD140">
        <f>ROUND((((ET140)-(EU140))+AE140),6)</f>
        <v>0</v>
      </c>
      <c r="AE140">
        <f t="shared" si="128"/>
        <v>0</v>
      </c>
      <c r="AF140">
        <f t="shared" si="128"/>
        <v>725.02</v>
      </c>
      <c r="AG140">
        <f t="shared" si="129"/>
        <v>0</v>
      </c>
      <c r="AH140">
        <f t="shared" si="130"/>
        <v>1.6</v>
      </c>
      <c r="AI140">
        <f t="shared" si="130"/>
        <v>0</v>
      </c>
      <c r="AJ140">
        <f t="shared" si="131"/>
        <v>0</v>
      </c>
      <c r="AK140">
        <v>725.02</v>
      </c>
      <c r="AL140">
        <v>0</v>
      </c>
      <c r="AM140">
        <v>0</v>
      </c>
      <c r="AN140">
        <v>0</v>
      </c>
      <c r="AO140">
        <v>725.02</v>
      </c>
      <c r="AP140">
        <v>0</v>
      </c>
      <c r="AQ140">
        <v>1.6</v>
      </c>
      <c r="AR140">
        <v>0</v>
      </c>
      <c r="AS140">
        <v>0</v>
      </c>
      <c r="AT140">
        <v>70</v>
      </c>
      <c r="AU140">
        <v>10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1</v>
      </c>
      <c r="BD140" t="s">
        <v>3</v>
      </c>
      <c r="BE140" t="s">
        <v>3</v>
      </c>
      <c r="BF140" t="s">
        <v>3</v>
      </c>
      <c r="BG140" t="s">
        <v>3</v>
      </c>
      <c r="BH140">
        <v>0</v>
      </c>
      <c r="BI140">
        <v>4</v>
      </c>
      <c r="BJ140" t="s">
        <v>208</v>
      </c>
      <c r="BM140">
        <v>0</v>
      </c>
      <c r="BN140">
        <v>0</v>
      </c>
      <c r="BO140" t="s">
        <v>3</v>
      </c>
      <c r="BP140">
        <v>0</v>
      </c>
      <c r="BQ140">
        <v>1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70</v>
      </c>
      <c r="CA140">
        <v>10</v>
      </c>
      <c r="CB140" t="s">
        <v>3</v>
      </c>
      <c r="CE140">
        <v>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si="132"/>
        <v>89744.43</v>
      </c>
      <c r="CQ140">
        <f t="shared" si="133"/>
        <v>0</v>
      </c>
      <c r="CR140">
        <f>((((ET140)*BB140-(EU140)*BS140)+AE140*BS140)*AV140)</f>
        <v>0</v>
      </c>
      <c r="CS140">
        <f t="shared" si="134"/>
        <v>0</v>
      </c>
      <c r="CT140">
        <f t="shared" si="135"/>
        <v>725.02</v>
      </c>
      <c r="CU140">
        <f t="shared" si="136"/>
        <v>0</v>
      </c>
      <c r="CV140">
        <f t="shared" si="137"/>
        <v>1.6</v>
      </c>
      <c r="CW140">
        <f t="shared" si="138"/>
        <v>0</v>
      </c>
      <c r="CX140">
        <f t="shared" si="139"/>
        <v>0</v>
      </c>
      <c r="CY140">
        <f t="shared" si="140"/>
        <v>62821.100999999995</v>
      </c>
      <c r="CZ140">
        <f t="shared" si="141"/>
        <v>8974.4429999999993</v>
      </c>
      <c r="DC140" t="s">
        <v>3</v>
      </c>
      <c r="DD140" t="s">
        <v>3</v>
      </c>
      <c r="DE140" t="s">
        <v>3</v>
      </c>
      <c r="DF140" t="s">
        <v>3</v>
      </c>
      <c r="DG140" t="s">
        <v>3</v>
      </c>
      <c r="DH140" t="s">
        <v>3</v>
      </c>
      <c r="DI140" t="s">
        <v>3</v>
      </c>
      <c r="DJ140" t="s">
        <v>3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1005</v>
      </c>
      <c r="DV140" t="s">
        <v>29</v>
      </c>
      <c r="DW140" t="s">
        <v>29</v>
      </c>
      <c r="DX140">
        <v>100</v>
      </c>
      <c r="DZ140" t="s">
        <v>3</v>
      </c>
      <c r="EA140" t="s">
        <v>3</v>
      </c>
      <c r="EB140" t="s">
        <v>3</v>
      </c>
      <c r="EC140" t="s">
        <v>3</v>
      </c>
      <c r="EE140">
        <v>80196140</v>
      </c>
      <c r="EF140">
        <v>1</v>
      </c>
      <c r="EG140" t="s">
        <v>23</v>
      </c>
      <c r="EH140">
        <v>0</v>
      </c>
      <c r="EI140" t="s">
        <v>3</v>
      </c>
      <c r="EJ140">
        <v>4</v>
      </c>
      <c r="EK140">
        <v>0</v>
      </c>
      <c r="EL140" t="s">
        <v>24</v>
      </c>
      <c r="EM140" t="s">
        <v>25</v>
      </c>
      <c r="EO140" t="s">
        <v>3</v>
      </c>
      <c r="EQ140">
        <v>0</v>
      </c>
      <c r="ER140">
        <v>725.02</v>
      </c>
      <c r="ES140">
        <v>0</v>
      </c>
      <c r="ET140">
        <v>0</v>
      </c>
      <c r="EU140">
        <v>0</v>
      </c>
      <c r="EV140">
        <v>725.02</v>
      </c>
      <c r="EW140">
        <v>1.6</v>
      </c>
      <c r="EX140">
        <v>0</v>
      </c>
      <c r="EY140">
        <v>0</v>
      </c>
      <c r="FQ140">
        <v>0</v>
      </c>
      <c r="FR140">
        <v>0</v>
      </c>
      <c r="FS140">
        <v>0</v>
      </c>
      <c r="FX140">
        <v>70</v>
      </c>
      <c r="FY140">
        <v>10</v>
      </c>
      <c r="GA140" t="s">
        <v>3</v>
      </c>
      <c r="GD140">
        <v>0</v>
      </c>
      <c r="GF140">
        <v>-2048109836</v>
      </c>
      <c r="GG140">
        <v>2</v>
      </c>
      <c r="GH140">
        <v>1</v>
      </c>
      <c r="GI140">
        <v>-2</v>
      </c>
      <c r="GJ140">
        <v>0</v>
      </c>
      <c r="GK140">
        <f>ROUND(R140*(R12)/100,2)</f>
        <v>0</v>
      </c>
      <c r="GL140">
        <f t="shared" si="142"/>
        <v>0</v>
      </c>
      <c r="GM140">
        <f t="shared" si="143"/>
        <v>161539.97</v>
      </c>
      <c r="GN140">
        <f t="shared" si="144"/>
        <v>0</v>
      </c>
      <c r="GO140">
        <f t="shared" si="145"/>
        <v>0</v>
      </c>
      <c r="GP140">
        <f t="shared" si="146"/>
        <v>161539.97</v>
      </c>
      <c r="GR140">
        <v>0</v>
      </c>
      <c r="GS140">
        <v>3</v>
      </c>
      <c r="GT140">
        <v>0</v>
      </c>
      <c r="GU140" t="s">
        <v>3</v>
      </c>
      <c r="GV140">
        <f t="shared" si="147"/>
        <v>0</v>
      </c>
      <c r="GW140">
        <v>1</v>
      </c>
      <c r="GX140">
        <f t="shared" si="148"/>
        <v>0</v>
      </c>
      <c r="HA140">
        <v>0</v>
      </c>
      <c r="HB140">
        <v>0</v>
      </c>
      <c r="HC140">
        <f t="shared" si="149"/>
        <v>0</v>
      </c>
      <c r="HE140" t="s">
        <v>3</v>
      </c>
      <c r="HF140" t="s">
        <v>3</v>
      </c>
      <c r="HM140" t="s">
        <v>3</v>
      </c>
      <c r="HN140" t="s">
        <v>3</v>
      </c>
      <c r="HO140" t="s">
        <v>3</v>
      </c>
      <c r="HP140" t="s">
        <v>3</v>
      </c>
      <c r="HQ140" t="s">
        <v>3</v>
      </c>
      <c r="HS140">
        <v>0</v>
      </c>
      <c r="IK140">
        <v>0</v>
      </c>
    </row>
    <row r="141" spans="1:245" x14ac:dyDescent="0.25">
      <c r="A141">
        <v>17</v>
      </c>
      <c r="B141">
        <v>1</v>
      </c>
      <c r="C141">
        <f>ROW(SmtRes!A60)</f>
        <v>60</v>
      </c>
      <c r="D141">
        <f>ROW(EtalonRes!A60)</f>
        <v>60</v>
      </c>
      <c r="E141" t="s">
        <v>209</v>
      </c>
      <c r="F141" t="s">
        <v>210</v>
      </c>
      <c r="G141" t="s">
        <v>211</v>
      </c>
      <c r="H141" t="s">
        <v>39</v>
      </c>
      <c r="I141">
        <v>371.35</v>
      </c>
      <c r="J141">
        <v>0</v>
      </c>
      <c r="K141">
        <v>371.35</v>
      </c>
      <c r="O141">
        <f t="shared" si="116"/>
        <v>246115.92</v>
      </c>
      <c r="P141">
        <f t="shared" si="117"/>
        <v>27034.28</v>
      </c>
      <c r="Q141">
        <f t="shared" si="118"/>
        <v>128735.9</v>
      </c>
      <c r="R141">
        <f t="shared" si="119"/>
        <v>55657.94</v>
      </c>
      <c r="S141">
        <f t="shared" si="120"/>
        <v>90345.74</v>
      </c>
      <c r="T141">
        <f t="shared" si="121"/>
        <v>0</v>
      </c>
      <c r="U141">
        <f t="shared" si="122"/>
        <v>178.24799999999999</v>
      </c>
      <c r="V141">
        <f t="shared" si="123"/>
        <v>0</v>
      </c>
      <c r="W141">
        <f t="shared" si="124"/>
        <v>0</v>
      </c>
      <c r="X141">
        <f t="shared" si="125"/>
        <v>63242.02</v>
      </c>
      <c r="Y141">
        <f t="shared" si="126"/>
        <v>9034.57</v>
      </c>
      <c r="AA141">
        <v>80889732</v>
      </c>
      <c r="AB141">
        <f t="shared" si="127"/>
        <v>662.76</v>
      </c>
      <c r="AC141">
        <f>ROUND((ES141),6)</f>
        <v>72.8</v>
      </c>
      <c r="AD141">
        <f>ROUND((((ET141)-(EU141))+AE141),6)</f>
        <v>346.67</v>
      </c>
      <c r="AE141">
        <f t="shared" si="128"/>
        <v>149.88</v>
      </c>
      <c r="AF141">
        <f t="shared" si="128"/>
        <v>243.29</v>
      </c>
      <c r="AG141">
        <f t="shared" si="129"/>
        <v>0</v>
      </c>
      <c r="AH141">
        <f t="shared" si="130"/>
        <v>0.48</v>
      </c>
      <c r="AI141">
        <f t="shared" si="130"/>
        <v>0</v>
      </c>
      <c r="AJ141">
        <f t="shared" si="131"/>
        <v>0</v>
      </c>
      <c r="AK141">
        <v>662.76</v>
      </c>
      <c r="AL141">
        <v>72.8</v>
      </c>
      <c r="AM141">
        <v>346.67</v>
      </c>
      <c r="AN141">
        <v>149.88</v>
      </c>
      <c r="AO141">
        <v>243.29</v>
      </c>
      <c r="AP141">
        <v>0</v>
      </c>
      <c r="AQ141">
        <v>0.48</v>
      </c>
      <c r="AR141">
        <v>0</v>
      </c>
      <c r="AS141">
        <v>0</v>
      </c>
      <c r="AT141">
        <v>70</v>
      </c>
      <c r="AU141">
        <v>10</v>
      </c>
      <c r="AV141">
        <v>1</v>
      </c>
      <c r="AW141">
        <v>1</v>
      </c>
      <c r="AZ141">
        <v>1</v>
      </c>
      <c r="BA141">
        <v>1</v>
      </c>
      <c r="BB141">
        <v>1</v>
      </c>
      <c r="BC141">
        <v>1</v>
      </c>
      <c r="BD141" t="s">
        <v>3</v>
      </c>
      <c r="BE141" t="s">
        <v>3</v>
      </c>
      <c r="BF141" t="s">
        <v>3</v>
      </c>
      <c r="BG141" t="s">
        <v>3</v>
      </c>
      <c r="BH141">
        <v>0</v>
      </c>
      <c r="BI141">
        <v>4</v>
      </c>
      <c r="BJ141" t="s">
        <v>212</v>
      </c>
      <c r="BM141">
        <v>0</v>
      </c>
      <c r="BN141">
        <v>0</v>
      </c>
      <c r="BO141" t="s">
        <v>3</v>
      </c>
      <c r="BP141">
        <v>0</v>
      </c>
      <c r="BQ141">
        <v>1</v>
      </c>
      <c r="BR141">
        <v>0</v>
      </c>
      <c r="BS141">
        <v>1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3</v>
      </c>
      <c r="BZ141">
        <v>70</v>
      </c>
      <c r="CA141">
        <v>10</v>
      </c>
      <c r="CB141" t="s">
        <v>3</v>
      </c>
      <c r="CE141">
        <v>0</v>
      </c>
      <c r="CF141">
        <v>0</v>
      </c>
      <c r="CG141">
        <v>0</v>
      </c>
      <c r="CM141">
        <v>0</v>
      </c>
      <c r="CN141" t="s">
        <v>3</v>
      </c>
      <c r="CO141">
        <v>0</v>
      </c>
      <c r="CP141">
        <f t="shared" si="132"/>
        <v>246115.91999999998</v>
      </c>
      <c r="CQ141">
        <f t="shared" si="133"/>
        <v>72.8</v>
      </c>
      <c r="CR141">
        <f>((((ET141)*BB141-(EU141)*BS141)+AE141*BS141)*AV141)</f>
        <v>346.67</v>
      </c>
      <c r="CS141">
        <f t="shared" si="134"/>
        <v>149.88</v>
      </c>
      <c r="CT141">
        <f t="shared" si="135"/>
        <v>243.29</v>
      </c>
      <c r="CU141">
        <f t="shared" si="136"/>
        <v>0</v>
      </c>
      <c r="CV141">
        <f t="shared" si="137"/>
        <v>0.48</v>
      </c>
      <c r="CW141">
        <f t="shared" si="138"/>
        <v>0</v>
      </c>
      <c r="CX141">
        <f t="shared" si="139"/>
        <v>0</v>
      </c>
      <c r="CY141">
        <f t="shared" si="140"/>
        <v>63242.018000000011</v>
      </c>
      <c r="CZ141">
        <f t="shared" si="141"/>
        <v>9034.5740000000005</v>
      </c>
      <c r="DC141" t="s">
        <v>3</v>
      </c>
      <c r="DD141" t="s">
        <v>3</v>
      </c>
      <c r="DE141" t="s">
        <v>3</v>
      </c>
      <c r="DF141" t="s">
        <v>3</v>
      </c>
      <c r="DG141" t="s">
        <v>3</v>
      </c>
      <c r="DH141" t="s">
        <v>3</v>
      </c>
      <c r="DI141" t="s">
        <v>3</v>
      </c>
      <c r="DJ141" t="s">
        <v>3</v>
      </c>
      <c r="DK141" t="s">
        <v>3</v>
      </c>
      <c r="DL141" t="s">
        <v>3</v>
      </c>
      <c r="DM141" t="s">
        <v>3</v>
      </c>
      <c r="DN141">
        <v>0</v>
      </c>
      <c r="DO141">
        <v>0</v>
      </c>
      <c r="DP141">
        <v>1</v>
      </c>
      <c r="DQ141">
        <v>1</v>
      </c>
      <c r="DU141">
        <v>1007</v>
      </c>
      <c r="DV141" t="s">
        <v>39</v>
      </c>
      <c r="DW141" t="s">
        <v>39</v>
      </c>
      <c r="DX141">
        <v>1</v>
      </c>
      <c r="DZ141" t="s">
        <v>3</v>
      </c>
      <c r="EA141" t="s">
        <v>3</v>
      </c>
      <c r="EB141" t="s">
        <v>3</v>
      </c>
      <c r="EC141" t="s">
        <v>3</v>
      </c>
      <c r="EE141">
        <v>80196140</v>
      </c>
      <c r="EF141">
        <v>1</v>
      </c>
      <c r="EG141" t="s">
        <v>23</v>
      </c>
      <c r="EH141">
        <v>0</v>
      </c>
      <c r="EI141" t="s">
        <v>3</v>
      </c>
      <c r="EJ141">
        <v>4</v>
      </c>
      <c r="EK141">
        <v>0</v>
      </c>
      <c r="EL141" t="s">
        <v>24</v>
      </c>
      <c r="EM141" t="s">
        <v>25</v>
      </c>
      <c r="EO141" t="s">
        <v>3</v>
      </c>
      <c r="EQ141">
        <v>0</v>
      </c>
      <c r="ER141">
        <v>662.76</v>
      </c>
      <c r="ES141">
        <v>72.8</v>
      </c>
      <c r="ET141">
        <v>346.67</v>
      </c>
      <c r="EU141">
        <v>149.88</v>
      </c>
      <c r="EV141">
        <v>243.29</v>
      </c>
      <c r="EW141">
        <v>0.48</v>
      </c>
      <c r="EX141">
        <v>0</v>
      </c>
      <c r="EY141">
        <v>0</v>
      </c>
      <c r="FQ141">
        <v>0</v>
      </c>
      <c r="FR141">
        <v>0</v>
      </c>
      <c r="FS141">
        <v>0</v>
      </c>
      <c r="FX141">
        <v>70</v>
      </c>
      <c r="FY141">
        <v>10</v>
      </c>
      <c r="GA141" t="s">
        <v>3</v>
      </c>
      <c r="GD141">
        <v>0</v>
      </c>
      <c r="GF141">
        <v>-633310310</v>
      </c>
      <c r="GG141">
        <v>2</v>
      </c>
      <c r="GH141">
        <v>1</v>
      </c>
      <c r="GI141">
        <v>-2</v>
      </c>
      <c r="GJ141">
        <v>0</v>
      </c>
      <c r="GK141">
        <f>ROUND(R141*(R12)/100,2)</f>
        <v>60110.58</v>
      </c>
      <c r="GL141">
        <f t="shared" si="142"/>
        <v>0</v>
      </c>
      <c r="GM141">
        <f t="shared" si="143"/>
        <v>378503.09</v>
      </c>
      <c r="GN141">
        <f t="shared" si="144"/>
        <v>0</v>
      </c>
      <c r="GO141">
        <f t="shared" si="145"/>
        <v>0</v>
      </c>
      <c r="GP141">
        <f t="shared" si="146"/>
        <v>378503.09</v>
      </c>
      <c r="GR141">
        <v>0</v>
      </c>
      <c r="GS141">
        <v>3</v>
      </c>
      <c r="GT141">
        <v>0</v>
      </c>
      <c r="GU141" t="s">
        <v>3</v>
      </c>
      <c r="GV141">
        <f t="shared" si="147"/>
        <v>0</v>
      </c>
      <c r="GW141">
        <v>1</v>
      </c>
      <c r="GX141">
        <f t="shared" si="148"/>
        <v>0</v>
      </c>
      <c r="HA141">
        <v>0</v>
      </c>
      <c r="HB141">
        <v>0</v>
      </c>
      <c r="HC141">
        <f t="shared" si="149"/>
        <v>0</v>
      </c>
      <c r="HE141" t="s">
        <v>3</v>
      </c>
      <c r="HF141" t="s">
        <v>3</v>
      </c>
      <c r="HM141" t="s">
        <v>3</v>
      </c>
      <c r="HN141" t="s">
        <v>3</v>
      </c>
      <c r="HO141" t="s">
        <v>3</v>
      </c>
      <c r="HP141" t="s">
        <v>3</v>
      </c>
      <c r="HQ141" t="s">
        <v>3</v>
      </c>
      <c r="HS141">
        <v>0</v>
      </c>
      <c r="IK141">
        <v>0</v>
      </c>
    </row>
    <row r="142" spans="1:245" x14ac:dyDescent="0.25">
      <c r="A142">
        <v>17</v>
      </c>
      <c r="B142">
        <v>1</v>
      </c>
      <c r="C142">
        <f>ROW(SmtRes!A62)</f>
        <v>62</v>
      </c>
      <c r="D142">
        <f>ROW(EtalonRes!A62)</f>
        <v>62</v>
      </c>
      <c r="E142" t="s">
        <v>213</v>
      </c>
      <c r="F142" t="s">
        <v>214</v>
      </c>
      <c r="G142" t="s">
        <v>215</v>
      </c>
      <c r="H142" t="s">
        <v>29</v>
      </c>
      <c r="I142">
        <v>247.56399999999999</v>
      </c>
      <c r="J142">
        <v>0</v>
      </c>
      <c r="K142">
        <v>247.56399999999999</v>
      </c>
      <c r="O142">
        <f t="shared" si="116"/>
        <v>1161181.6100000001</v>
      </c>
      <c r="P142">
        <f t="shared" si="117"/>
        <v>44831.360000000001</v>
      </c>
      <c r="Q142">
        <f t="shared" si="118"/>
        <v>0</v>
      </c>
      <c r="R142">
        <f t="shared" si="119"/>
        <v>0</v>
      </c>
      <c r="S142">
        <f t="shared" si="120"/>
        <v>1116350.25</v>
      </c>
      <c r="T142">
        <f t="shared" si="121"/>
        <v>0</v>
      </c>
      <c r="U142">
        <f t="shared" si="122"/>
        <v>2463.2618000000002</v>
      </c>
      <c r="V142">
        <f t="shared" si="123"/>
        <v>0</v>
      </c>
      <c r="W142">
        <f t="shared" si="124"/>
        <v>0</v>
      </c>
      <c r="X142">
        <f t="shared" si="125"/>
        <v>781445.18</v>
      </c>
      <c r="Y142">
        <f t="shared" si="126"/>
        <v>111635.03</v>
      </c>
      <c r="AA142">
        <v>80889732</v>
      </c>
      <c r="AB142">
        <f t="shared" si="127"/>
        <v>4690.43</v>
      </c>
      <c r="AC142">
        <f>ROUND(((ES142*199)),6)</f>
        <v>181.09</v>
      </c>
      <c r="AD142">
        <f>ROUND(((((ET142*199))-((EU142*199)))+AE142),6)</f>
        <v>0</v>
      </c>
      <c r="AE142">
        <f>ROUND(((EU142*199)),6)</f>
        <v>0</v>
      </c>
      <c r="AF142">
        <f>ROUND(((EV142*199)),6)</f>
        <v>4509.34</v>
      </c>
      <c r="AG142">
        <f t="shared" si="129"/>
        <v>0</v>
      </c>
      <c r="AH142">
        <f>((EW142*199))</f>
        <v>9.9500000000000011</v>
      </c>
      <c r="AI142">
        <f>((EX142*199))</f>
        <v>0</v>
      </c>
      <c r="AJ142">
        <f t="shared" si="131"/>
        <v>0</v>
      </c>
      <c r="AK142">
        <v>23.57</v>
      </c>
      <c r="AL142">
        <v>0.91</v>
      </c>
      <c r="AM142">
        <v>0</v>
      </c>
      <c r="AN142">
        <v>0</v>
      </c>
      <c r="AO142">
        <v>22.66</v>
      </c>
      <c r="AP142">
        <v>0</v>
      </c>
      <c r="AQ142">
        <v>0.05</v>
      </c>
      <c r="AR142">
        <v>0</v>
      </c>
      <c r="AS142">
        <v>0</v>
      </c>
      <c r="AT142">
        <v>70</v>
      </c>
      <c r="AU142">
        <v>10</v>
      </c>
      <c r="AV142">
        <v>1</v>
      </c>
      <c r="AW142">
        <v>1</v>
      </c>
      <c r="AZ142">
        <v>1</v>
      </c>
      <c r="BA142">
        <v>1</v>
      </c>
      <c r="BB142">
        <v>1</v>
      </c>
      <c r="BC142">
        <v>1</v>
      </c>
      <c r="BD142" t="s">
        <v>3</v>
      </c>
      <c r="BE142" t="s">
        <v>3</v>
      </c>
      <c r="BF142" t="s">
        <v>3</v>
      </c>
      <c r="BG142" t="s">
        <v>3</v>
      </c>
      <c r="BH142">
        <v>0</v>
      </c>
      <c r="BI142">
        <v>4</v>
      </c>
      <c r="BJ142" t="s">
        <v>216</v>
      </c>
      <c r="BM142">
        <v>0</v>
      </c>
      <c r="BN142">
        <v>0</v>
      </c>
      <c r="BO142" t="s">
        <v>3</v>
      </c>
      <c r="BP142">
        <v>0</v>
      </c>
      <c r="BQ142">
        <v>1</v>
      </c>
      <c r="BR142">
        <v>0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70</v>
      </c>
      <c r="CA142">
        <v>10</v>
      </c>
      <c r="CB142" t="s">
        <v>3</v>
      </c>
      <c r="CE142">
        <v>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 t="shared" si="132"/>
        <v>1161181.6100000001</v>
      </c>
      <c r="CQ142">
        <f t="shared" si="133"/>
        <v>181.09</v>
      </c>
      <c r="CR142">
        <f>(((((ET142*199))*BB142-((EU142*199))*BS142)+AE142*BS142)*AV142)</f>
        <v>0</v>
      </c>
      <c r="CS142">
        <f t="shared" si="134"/>
        <v>0</v>
      </c>
      <c r="CT142">
        <f t="shared" si="135"/>
        <v>4509.34</v>
      </c>
      <c r="CU142">
        <f t="shared" si="136"/>
        <v>0</v>
      </c>
      <c r="CV142">
        <f t="shared" si="137"/>
        <v>9.9500000000000011</v>
      </c>
      <c r="CW142">
        <f t="shared" si="138"/>
        <v>0</v>
      </c>
      <c r="CX142">
        <f t="shared" si="139"/>
        <v>0</v>
      </c>
      <c r="CY142">
        <f t="shared" si="140"/>
        <v>781445.17500000005</v>
      </c>
      <c r="CZ142">
        <f t="shared" si="141"/>
        <v>111635.02499999999</v>
      </c>
      <c r="DC142" t="s">
        <v>3</v>
      </c>
      <c r="DD142" t="s">
        <v>196</v>
      </c>
      <c r="DE142" t="s">
        <v>196</v>
      </c>
      <c r="DF142" t="s">
        <v>196</v>
      </c>
      <c r="DG142" t="s">
        <v>196</v>
      </c>
      <c r="DH142" t="s">
        <v>3</v>
      </c>
      <c r="DI142" t="s">
        <v>196</v>
      </c>
      <c r="DJ142" t="s">
        <v>196</v>
      </c>
      <c r="DK142" t="s">
        <v>3</v>
      </c>
      <c r="DL142" t="s">
        <v>3</v>
      </c>
      <c r="DM142" t="s">
        <v>3</v>
      </c>
      <c r="DN142">
        <v>0</v>
      </c>
      <c r="DO142">
        <v>0</v>
      </c>
      <c r="DP142">
        <v>1</v>
      </c>
      <c r="DQ142">
        <v>1</v>
      </c>
      <c r="DU142">
        <v>1005</v>
      </c>
      <c r="DV142" t="s">
        <v>29</v>
      </c>
      <c r="DW142" t="s">
        <v>29</v>
      </c>
      <c r="DX142">
        <v>100</v>
      </c>
      <c r="DZ142" t="s">
        <v>3</v>
      </c>
      <c r="EA142" t="s">
        <v>3</v>
      </c>
      <c r="EB142" t="s">
        <v>3</v>
      </c>
      <c r="EC142" t="s">
        <v>3</v>
      </c>
      <c r="EE142">
        <v>80196140</v>
      </c>
      <c r="EF142">
        <v>1</v>
      </c>
      <c r="EG142" t="s">
        <v>23</v>
      </c>
      <c r="EH142">
        <v>0</v>
      </c>
      <c r="EI142" t="s">
        <v>3</v>
      </c>
      <c r="EJ142">
        <v>4</v>
      </c>
      <c r="EK142">
        <v>0</v>
      </c>
      <c r="EL142" t="s">
        <v>24</v>
      </c>
      <c r="EM142" t="s">
        <v>25</v>
      </c>
      <c r="EO142" t="s">
        <v>3</v>
      </c>
      <c r="EQ142">
        <v>0</v>
      </c>
      <c r="ER142">
        <v>23.57</v>
      </c>
      <c r="ES142">
        <v>0.91</v>
      </c>
      <c r="ET142">
        <v>0</v>
      </c>
      <c r="EU142">
        <v>0</v>
      </c>
      <c r="EV142">
        <v>22.66</v>
      </c>
      <c r="EW142">
        <v>0.05</v>
      </c>
      <c r="EX142">
        <v>0</v>
      </c>
      <c r="EY142">
        <v>0</v>
      </c>
      <c r="FQ142">
        <v>0</v>
      </c>
      <c r="FR142">
        <v>0</v>
      </c>
      <c r="FS142">
        <v>0</v>
      </c>
      <c r="FX142">
        <v>70</v>
      </c>
      <c r="FY142">
        <v>10</v>
      </c>
      <c r="GA142" t="s">
        <v>3</v>
      </c>
      <c r="GD142">
        <v>0</v>
      </c>
      <c r="GF142">
        <v>1005512256</v>
      </c>
      <c r="GG142">
        <v>2</v>
      </c>
      <c r="GH142">
        <v>1</v>
      </c>
      <c r="GI142">
        <v>-2</v>
      </c>
      <c r="GJ142">
        <v>0</v>
      </c>
      <c r="GK142">
        <f>ROUND(R142*(R12)/100,2)</f>
        <v>0</v>
      </c>
      <c r="GL142">
        <f t="shared" si="142"/>
        <v>0</v>
      </c>
      <c r="GM142">
        <f t="shared" si="143"/>
        <v>2054261.82</v>
      </c>
      <c r="GN142">
        <f t="shared" si="144"/>
        <v>0</v>
      </c>
      <c r="GO142">
        <f t="shared" si="145"/>
        <v>0</v>
      </c>
      <c r="GP142">
        <f t="shared" si="146"/>
        <v>2054261.82</v>
      </c>
      <c r="GR142">
        <v>0</v>
      </c>
      <c r="GS142">
        <v>3</v>
      </c>
      <c r="GT142">
        <v>0</v>
      </c>
      <c r="GU142" t="s">
        <v>3</v>
      </c>
      <c r="GV142">
        <f t="shared" si="147"/>
        <v>0</v>
      </c>
      <c r="GW142">
        <v>1</v>
      </c>
      <c r="GX142">
        <f t="shared" si="148"/>
        <v>0</v>
      </c>
      <c r="HA142">
        <v>0</v>
      </c>
      <c r="HB142">
        <v>0</v>
      </c>
      <c r="HC142">
        <f t="shared" si="149"/>
        <v>0</v>
      </c>
      <c r="HE142" t="s">
        <v>3</v>
      </c>
      <c r="HF142" t="s">
        <v>3</v>
      </c>
      <c r="HM142" t="s">
        <v>3</v>
      </c>
      <c r="HN142" t="s">
        <v>3</v>
      </c>
      <c r="HO142" t="s">
        <v>3</v>
      </c>
      <c r="HP142" t="s">
        <v>3</v>
      </c>
      <c r="HQ142" t="s">
        <v>3</v>
      </c>
      <c r="HS142">
        <v>0</v>
      </c>
      <c r="IK142">
        <v>0</v>
      </c>
    </row>
    <row r="143" spans="1:245" x14ac:dyDescent="0.25">
      <c r="A143">
        <v>17</v>
      </c>
      <c r="B143">
        <v>1</v>
      </c>
      <c r="C143">
        <f>ROW(SmtRes!A64)</f>
        <v>64</v>
      </c>
      <c r="D143">
        <f>ROW(EtalonRes!A64)</f>
        <v>64</v>
      </c>
      <c r="E143" t="s">
        <v>217</v>
      </c>
      <c r="F143" t="s">
        <v>218</v>
      </c>
      <c r="G143" t="s">
        <v>219</v>
      </c>
      <c r="H143" t="s">
        <v>29</v>
      </c>
      <c r="I143">
        <v>1237.82</v>
      </c>
      <c r="J143">
        <v>0</v>
      </c>
      <c r="K143">
        <v>1237.82</v>
      </c>
      <c r="O143">
        <f t="shared" si="116"/>
        <v>8210361.0300000003</v>
      </c>
      <c r="P143">
        <f t="shared" si="117"/>
        <v>0</v>
      </c>
      <c r="Q143">
        <f t="shared" si="118"/>
        <v>423532.49</v>
      </c>
      <c r="R143">
        <f t="shared" si="119"/>
        <v>42630.52</v>
      </c>
      <c r="S143">
        <f t="shared" si="120"/>
        <v>7786828.54</v>
      </c>
      <c r="T143">
        <f t="shared" si="121"/>
        <v>0</v>
      </c>
      <c r="U143">
        <f t="shared" si="122"/>
        <v>16982.890399999997</v>
      </c>
      <c r="V143">
        <f t="shared" si="123"/>
        <v>0</v>
      </c>
      <c r="W143">
        <f t="shared" si="124"/>
        <v>0</v>
      </c>
      <c r="X143">
        <f t="shared" si="125"/>
        <v>5450779.9800000004</v>
      </c>
      <c r="Y143">
        <f t="shared" si="126"/>
        <v>778682.85</v>
      </c>
      <c r="AA143">
        <v>80889732</v>
      </c>
      <c r="AB143">
        <f t="shared" si="127"/>
        <v>6632.92</v>
      </c>
      <c r="AC143">
        <f>ROUND(((ES143*14)),6)</f>
        <v>0</v>
      </c>
      <c r="AD143">
        <f>ROUND(((((ET143*14))-((EU143*14)))+AE143),6)</f>
        <v>342.16</v>
      </c>
      <c r="AE143">
        <f>ROUND(((EU143*14)),6)</f>
        <v>34.44</v>
      </c>
      <c r="AF143">
        <f>ROUND(((EV143*14)),6)</f>
        <v>6290.76</v>
      </c>
      <c r="AG143">
        <f t="shared" si="129"/>
        <v>0</v>
      </c>
      <c r="AH143">
        <f>((EW143*14))</f>
        <v>13.719999999999999</v>
      </c>
      <c r="AI143">
        <f>((EX143*14))</f>
        <v>0</v>
      </c>
      <c r="AJ143">
        <f t="shared" si="131"/>
        <v>0</v>
      </c>
      <c r="AK143">
        <v>473.78</v>
      </c>
      <c r="AL143">
        <v>0</v>
      </c>
      <c r="AM143">
        <v>24.44</v>
      </c>
      <c r="AN143">
        <v>2.46</v>
      </c>
      <c r="AO143">
        <v>449.34</v>
      </c>
      <c r="AP143">
        <v>0</v>
      </c>
      <c r="AQ143">
        <v>0.98</v>
      </c>
      <c r="AR143">
        <v>0</v>
      </c>
      <c r="AS143">
        <v>0</v>
      </c>
      <c r="AT143">
        <v>70</v>
      </c>
      <c r="AU143">
        <v>10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0</v>
      </c>
      <c r="BI143">
        <v>4</v>
      </c>
      <c r="BJ143" t="s">
        <v>220</v>
      </c>
      <c r="BM143">
        <v>0</v>
      </c>
      <c r="BN143">
        <v>0</v>
      </c>
      <c r="BO143" t="s">
        <v>3</v>
      </c>
      <c r="BP143">
        <v>0</v>
      </c>
      <c r="BQ143">
        <v>1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70</v>
      </c>
      <c r="CA143">
        <v>10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si="132"/>
        <v>8210361.0300000003</v>
      </c>
      <c r="CQ143">
        <f t="shared" si="133"/>
        <v>0</v>
      </c>
      <c r="CR143">
        <f>(((((ET143*14))*BB143-((EU143*14))*BS143)+AE143*BS143)*AV143)</f>
        <v>342.16</v>
      </c>
      <c r="CS143">
        <f t="shared" si="134"/>
        <v>34.44</v>
      </c>
      <c r="CT143">
        <f t="shared" si="135"/>
        <v>6290.76</v>
      </c>
      <c r="CU143">
        <f t="shared" si="136"/>
        <v>0</v>
      </c>
      <c r="CV143">
        <f t="shared" si="137"/>
        <v>13.719999999999999</v>
      </c>
      <c r="CW143">
        <f t="shared" si="138"/>
        <v>0</v>
      </c>
      <c r="CX143">
        <f t="shared" si="139"/>
        <v>0</v>
      </c>
      <c r="CY143">
        <f t="shared" si="140"/>
        <v>5450779.9779999992</v>
      </c>
      <c r="CZ143">
        <f t="shared" si="141"/>
        <v>778682.85400000005</v>
      </c>
      <c r="DC143" t="s">
        <v>3</v>
      </c>
      <c r="DD143" t="s">
        <v>221</v>
      </c>
      <c r="DE143" t="s">
        <v>221</v>
      </c>
      <c r="DF143" t="s">
        <v>221</v>
      </c>
      <c r="DG143" t="s">
        <v>221</v>
      </c>
      <c r="DH143" t="s">
        <v>3</v>
      </c>
      <c r="DI143" t="s">
        <v>221</v>
      </c>
      <c r="DJ143" t="s">
        <v>221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1005</v>
      </c>
      <c r="DV143" t="s">
        <v>29</v>
      </c>
      <c r="DW143" t="s">
        <v>29</v>
      </c>
      <c r="DX143">
        <v>100</v>
      </c>
      <c r="DZ143" t="s">
        <v>3</v>
      </c>
      <c r="EA143" t="s">
        <v>3</v>
      </c>
      <c r="EB143" t="s">
        <v>3</v>
      </c>
      <c r="EC143" t="s">
        <v>3</v>
      </c>
      <c r="EE143">
        <v>80196140</v>
      </c>
      <c r="EF143">
        <v>1</v>
      </c>
      <c r="EG143" t="s">
        <v>23</v>
      </c>
      <c r="EH143">
        <v>0</v>
      </c>
      <c r="EI143" t="s">
        <v>3</v>
      </c>
      <c r="EJ143">
        <v>4</v>
      </c>
      <c r="EK143">
        <v>0</v>
      </c>
      <c r="EL143" t="s">
        <v>24</v>
      </c>
      <c r="EM143" t="s">
        <v>25</v>
      </c>
      <c r="EO143" t="s">
        <v>3</v>
      </c>
      <c r="EQ143">
        <v>0</v>
      </c>
      <c r="ER143">
        <v>473.78</v>
      </c>
      <c r="ES143">
        <v>0</v>
      </c>
      <c r="ET143">
        <v>24.44</v>
      </c>
      <c r="EU143">
        <v>2.46</v>
      </c>
      <c r="EV143">
        <v>449.34</v>
      </c>
      <c r="EW143">
        <v>0.98</v>
      </c>
      <c r="EX143">
        <v>0</v>
      </c>
      <c r="EY143">
        <v>0</v>
      </c>
      <c r="FQ143">
        <v>0</v>
      </c>
      <c r="FR143">
        <v>0</v>
      </c>
      <c r="FS143">
        <v>0</v>
      </c>
      <c r="FX143">
        <v>70</v>
      </c>
      <c r="FY143">
        <v>10</v>
      </c>
      <c r="GA143" t="s">
        <v>3</v>
      </c>
      <c r="GD143">
        <v>0</v>
      </c>
      <c r="GF143">
        <v>-1313962782</v>
      </c>
      <c r="GG143">
        <v>2</v>
      </c>
      <c r="GH143">
        <v>1</v>
      </c>
      <c r="GI143">
        <v>-2</v>
      </c>
      <c r="GJ143">
        <v>0</v>
      </c>
      <c r="GK143">
        <f>ROUND(R143*(R12)/100,2)</f>
        <v>46040.959999999999</v>
      </c>
      <c r="GL143">
        <f t="shared" si="142"/>
        <v>0</v>
      </c>
      <c r="GM143">
        <f t="shared" si="143"/>
        <v>14485864.82</v>
      </c>
      <c r="GN143">
        <f t="shared" si="144"/>
        <v>0</v>
      </c>
      <c r="GO143">
        <f t="shared" si="145"/>
        <v>0</v>
      </c>
      <c r="GP143">
        <f t="shared" si="146"/>
        <v>14485864.82</v>
      </c>
      <c r="GR143">
        <v>0</v>
      </c>
      <c r="GS143">
        <v>3</v>
      </c>
      <c r="GT143">
        <v>0</v>
      </c>
      <c r="GU143" t="s">
        <v>3</v>
      </c>
      <c r="GV143">
        <f t="shared" si="147"/>
        <v>0</v>
      </c>
      <c r="GW143">
        <v>1</v>
      </c>
      <c r="GX143">
        <f t="shared" si="148"/>
        <v>0</v>
      </c>
      <c r="HA143">
        <v>0</v>
      </c>
      <c r="HB143">
        <v>0</v>
      </c>
      <c r="HC143">
        <f t="shared" si="149"/>
        <v>0</v>
      </c>
      <c r="HE143" t="s">
        <v>3</v>
      </c>
      <c r="HF143" t="s">
        <v>3</v>
      </c>
      <c r="HM143" t="s">
        <v>3</v>
      </c>
      <c r="HN143" t="s">
        <v>3</v>
      </c>
      <c r="HO143" t="s">
        <v>3</v>
      </c>
      <c r="HP143" t="s">
        <v>3</v>
      </c>
      <c r="HQ143" t="s">
        <v>3</v>
      </c>
      <c r="HS143">
        <v>0</v>
      </c>
      <c r="IK143">
        <v>0</v>
      </c>
    </row>
    <row r="144" spans="1:245" x14ac:dyDescent="0.25">
      <c r="A144">
        <v>17</v>
      </c>
      <c r="B144">
        <v>1</v>
      </c>
      <c r="C144">
        <f>ROW(SmtRes!A67)</f>
        <v>67</v>
      </c>
      <c r="D144">
        <f>ROW(EtalonRes!A67)</f>
        <v>67</v>
      </c>
      <c r="E144" t="s">
        <v>222</v>
      </c>
      <c r="F144" t="s">
        <v>223</v>
      </c>
      <c r="G144" t="s">
        <v>224</v>
      </c>
      <c r="H144" t="s">
        <v>39</v>
      </c>
      <c r="I144">
        <v>495.12799999999999</v>
      </c>
      <c r="J144">
        <v>0</v>
      </c>
      <c r="K144">
        <v>495.12799999999999</v>
      </c>
      <c r="O144">
        <f t="shared" si="116"/>
        <v>7877773.6500000004</v>
      </c>
      <c r="P144">
        <f t="shared" si="117"/>
        <v>379931.52</v>
      </c>
      <c r="Q144">
        <f t="shared" si="118"/>
        <v>6233552.5899999999</v>
      </c>
      <c r="R144">
        <f t="shared" si="119"/>
        <v>2152044.14</v>
      </c>
      <c r="S144">
        <f t="shared" si="120"/>
        <v>1264289.54</v>
      </c>
      <c r="T144">
        <f t="shared" si="121"/>
        <v>0</v>
      </c>
      <c r="U144">
        <f t="shared" si="122"/>
        <v>3881.8035200000004</v>
      </c>
      <c r="V144">
        <f t="shared" si="123"/>
        <v>0</v>
      </c>
      <c r="W144">
        <f t="shared" si="124"/>
        <v>0</v>
      </c>
      <c r="X144">
        <f t="shared" si="125"/>
        <v>885002.68</v>
      </c>
      <c r="Y144">
        <f t="shared" si="126"/>
        <v>126428.95</v>
      </c>
      <c r="AA144">
        <v>80889732</v>
      </c>
      <c r="AB144">
        <f t="shared" si="127"/>
        <v>15910.58</v>
      </c>
      <c r="AC144">
        <f>ROUND(((ES144*14)),6)</f>
        <v>767.34</v>
      </c>
      <c r="AD144">
        <f>ROUND(((((ET144*14))-((EU144*14)))+AE144),6)</f>
        <v>12589.78</v>
      </c>
      <c r="AE144">
        <f>ROUND(((EU144*14)),6)</f>
        <v>4346.4399999999996</v>
      </c>
      <c r="AF144">
        <f>ROUND(((EV144*14)),6)</f>
        <v>2553.46</v>
      </c>
      <c r="AG144">
        <f t="shared" si="129"/>
        <v>0</v>
      </c>
      <c r="AH144">
        <f>((EW144*14))</f>
        <v>7.8400000000000007</v>
      </c>
      <c r="AI144">
        <f>((EX144*14))</f>
        <v>0</v>
      </c>
      <c r="AJ144">
        <f t="shared" si="131"/>
        <v>0</v>
      </c>
      <c r="AK144">
        <v>1136.47</v>
      </c>
      <c r="AL144">
        <v>54.81</v>
      </c>
      <c r="AM144">
        <v>899.27</v>
      </c>
      <c r="AN144">
        <v>310.45999999999998</v>
      </c>
      <c r="AO144">
        <v>182.39</v>
      </c>
      <c r="AP144">
        <v>0</v>
      </c>
      <c r="AQ144">
        <v>0.56000000000000005</v>
      </c>
      <c r="AR144">
        <v>0</v>
      </c>
      <c r="AS144">
        <v>0</v>
      </c>
      <c r="AT144">
        <v>70</v>
      </c>
      <c r="AU144">
        <v>10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0</v>
      </c>
      <c r="BI144">
        <v>4</v>
      </c>
      <c r="BJ144" t="s">
        <v>225</v>
      </c>
      <c r="BM144">
        <v>0</v>
      </c>
      <c r="BN144">
        <v>0</v>
      </c>
      <c r="BO144" t="s">
        <v>3</v>
      </c>
      <c r="BP144">
        <v>0</v>
      </c>
      <c r="BQ144">
        <v>1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70</v>
      </c>
      <c r="CA144">
        <v>10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132"/>
        <v>7877773.6499999994</v>
      </c>
      <c r="CQ144">
        <f t="shared" si="133"/>
        <v>767.34</v>
      </c>
      <c r="CR144">
        <f>(((((ET144*14))*BB144-((EU144*14))*BS144)+AE144*BS144)*AV144)</f>
        <v>12589.779999999999</v>
      </c>
      <c r="CS144">
        <f t="shared" si="134"/>
        <v>4346.4399999999996</v>
      </c>
      <c r="CT144">
        <f t="shared" si="135"/>
        <v>2553.46</v>
      </c>
      <c r="CU144">
        <f t="shared" si="136"/>
        <v>0</v>
      </c>
      <c r="CV144">
        <f t="shared" si="137"/>
        <v>7.8400000000000007</v>
      </c>
      <c r="CW144">
        <f t="shared" si="138"/>
        <v>0</v>
      </c>
      <c r="CX144">
        <f t="shared" si="139"/>
        <v>0</v>
      </c>
      <c r="CY144">
        <f t="shared" si="140"/>
        <v>885002.67799999996</v>
      </c>
      <c r="CZ144">
        <f t="shared" si="141"/>
        <v>126428.954</v>
      </c>
      <c r="DC144" t="s">
        <v>3</v>
      </c>
      <c r="DD144" t="s">
        <v>221</v>
      </c>
      <c r="DE144" t="s">
        <v>221</v>
      </c>
      <c r="DF144" t="s">
        <v>221</v>
      </c>
      <c r="DG144" t="s">
        <v>221</v>
      </c>
      <c r="DH144" t="s">
        <v>3</v>
      </c>
      <c r="DI144" t="s">
        <v>221</v>
      </c>
      <c r="DJ144" t="s">
        <v>221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1007</v>
      </c>
      <c r="DV144" t="s">
        <v>39</v>
      </c>
      <c r="DW144" t="s">
        <v>39</v>
      </c>
      <c r="DX144">
        <v>1</v>
      </c>
      <c r="DZ144" t="s">
        <v>3</v>
      </c>
      <c r="EA144" t="s">
        <v>3</v>
      </c>
      <c r="EB144" t="s">
        <v>3</v>
      </c>
      <c r="EC144" t="s">
        <v>3</v>
      </c>
      <c r="EE144">
        <v>80196140</v>
      </c>
      <c r="EF144">
        <v>1</v>
      </c>
      <c r="EG144" t="s">
        <v>23</v>
      </c>
      <c r="EH144">
        <v>0</v>
      </c>
      <c r="EI144" t="s">
        <v>3</v>
      </c>
      <c r="EJ144">
        <v>4</v>
      </c>
      <c r="EK144">
        <v>0</v>
      </c>
      <c r="EL144" t="s">
        <v>24</v>
      </c>
      <c r="EM144" t="s">
        <v>25</v>
      </c>
      <c r="EO144" t="s">
        <v>3</v>
      </c>
      <c r="EQ144">
        <v>0</v>
      </c>
      <c r="ER144">
        <v>1136.47</v>
      </c>
      <c r="ES144">
        <v>54.81</v>
      </c>
      <c r="ET144">
        <v>899.27</v>
      </c>
      <c r="EU144">
        <v>310.45999999999998</v>
      </c>
      <c r="EV144">
        <v>182.39</v>
      </c>
      <c r="EW144">
        <v>0.56000000000000005</v>
      </c>
      <c r="EX144">
        <v>0</v>
      </c>
      <c r="EY144">
        <v>0</v>
      </c>
      <c r="FQ144">
        <v>0</v>
      </c>
      <c r="FR144">
        <v>0</v>
      </c>
      <c r="FS144">
        <v>0</v>
      </c>
      <c r="FX144">
        <v>70</v>
      </c>
      <c r="FY144">
        <v>10</v>
      </c>
      <c r="GA144" t="s">
        <v>3</v>
      </c>
      <c r="GD144">
        <v>0</v>
      </c>
      <c r="GF144">
        <v>1438929240</v>
      </c>
      <c r="GG144">
        <v>2</v>
      </c>
      <c r="GH144">
        <v>1</v>
      </c>
      <c r="GI144">
        <v>-2</v>
      </c>
      <c r="GJ144">
        <v>0</v>
      </c>
      <c r="GK144">
        <f>ROUND(R144*(R12)/100,2)</f>
        <v>2324207.67</v>
      </c>
      <c r="GL144">
        <f t="shared" si="142"/>
        <v>0</v>
      </c>
      <c r="GM144">
        <f t="shared" si="143"/>
        <v>11213412.949999999</v>
      </c>
      <c r="GN144">
        <f t="shared" si="144"/>
        <v>0</v>
      </c>
      <c r="GO144">
        <f t="shared" si="145"/>
        <v>0</v>
      </c>
      <c r="GP144">
        <f t="shared" si="146"/>
        <v>11213412.949999999</v>
      </c>
      <c r="GR144">
        <v>0</v>
      </c>
      <c r="GS144">
        <v>3</v>
      </c>
      <c r="GT144">
        <v>0</v>
      </c>
      <c r="GU144" t="s">
        <v>3</v>
      </c>
      <c r="GV144">
        <f t="shared" si="147"/>
        <v>0</v>
      </c>
      <c r="GW144">
        <v>1</v>
      </c>
      <c r="GX144">
        <f t="shared" si="148"/>
        <v>0</v>
      </c>
      <c r="HA144">
        <v>0</v>
      </c>
      <c r="HB144">
        <v>0</v>
      </c>
      <c r="HC144">
        <f t="shared" si="149"/>
        <v>0</v>
      </c>
      <c r="HE144" t="s">
        <v>3</v>
      </c>
      <c r="HF144" t="s">
        <v>3</v>
      </c>
      <c r="HM144" t="s">
        <v>3</v>
      </c>
      <c r="HN144" t="s">
        <v>3</v>
      </c>
      <c r="HO144" t="s">
        <v>3</v>
      </c>
      <c r="HP144" t="s">
        <v>3</v>
      </c>
      <c r="HQ144" t="s">
        <v>3</v>
      </c>
      <c r="HS144">
        <v>0</v>
      </c>
      <c r="IK144">
        <v>0</v>
      </c>
    </row>
    <row r="145" spans="1:245" x14ac:dyDescent="0.25">
      <c r="A145">
        <v>18</v>
      </c>
      <c r="B145">
        <v>1</v>
      </c>
      <c r="C145">
        <v>67</v>
      </c>
      <c r="E145" t="s">
        <v>226</v>
      </c>
      <c r="F145" t="s">
        <v>37</v>
      </c>
      <c r="G145" t="s">
        <v>38</v>
      </c>
      <c r="H145" t="s">
        <v>39</v>
      </c>
      <c r="I145">
        <f>I144*J145</f>
        <v>-6931.7920000000004</v>
      </c>
      <c r="J145">
        <v>-14.000000000000002</v>
      </c>
      <c r="K145">
        <v>-1</v>
      </c>
      <c r="O145">
        <f t="shared" si="116"/>
        <v>-379931.52</v>
      </c>
      <c r="P145">
        <f t="shared" si="117"/>
        <v>-379931.52</v>
      </c>
      <c r="Q145">
        <f t="shared" si="118"/>
        <v>0</v>
      </c>
      <c r="R145">
        <f t="shared" si="119"/>
        <v>0</v>
      </c>
      <c r="S145">
        <f t="shared" si="120"/>
        <v>0</v>
      </c>
      <c r="T145">
        <f t="shared" si="121"/>
        <v>0</v>
      </c>
      <c r="U145">
        <f t="shared" si="122"/>
        <v>0</v>
      </c>
      <c r="V145">
        <f t="shared" si="123"/>
        <v>0</v>
      </c>
      <c r="W145">
        <f t="shared" si="124"/>
        <v>0</v>
      </c>
      <c r="X145">
        <f t="shared" si="125"/>
        <v>0</v>
      </c>
      <c r="Y145">
        <f t="shared" si="126"/>
        <v>0</v>
      </c>
      <c r="AA145">
        <v>80889732</v>
      </c>
      <c r="AB145">
        <f t="shared" si="127"/>
        <v>54.81</v>
      </c>
      <c r="AC145">
        <f>ROUND((ES145),6)</f>
        <v>54.81</v>
      </c>
      <c r="AD145">
        <f>ROUND((((ET145)-(EU145))+AE145),6)</f>
        <v>0</v>
      </c>
      <c r="AE145">
        <f t="shared" ref="AE145:AF147" si="150">ROUND((EU145),6)</f>
        <v>0</v>
      </c>
      <c r="AF145">
        <f t="shared" si="150"/>
        <v>0</v>
      </c>
      <c r="AG145">
        <f t="shared" si="129"/>
        <v>0</v>
      </c>
      <c r="AH145">
        <f t="shared" ref="AH145:AI147" si="151">(EW145)</f>
        <v>0</v>
      </c>
      <c r="AI145">
        <f t="shared" si="151"/>
        <v>0</v>
      </c>
      <c r="AJ145">
        <f t="shared" si="131"/>
        <v>0</v>
      </c>
      <c r="AK145">
        <v>54.81</v>
      </c>
      <c r="AL145">
        <v>54.81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70</v>
      </c>
      <c r="AU145">
        <v>10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3</v>
      </c>
      <c r="BE145" t="s">
        <v>3</v>
      </c>
      <c r="BF145" t="s">
        <v>3</v>
      </c>
      <c r="BG145" t="s">
        <v>3</v>
      </c>
      <c r="BH145">
        <v>3</v>
      </c>
      <c r="BI145">
        <v>4</v>
      </c>
      <c r="BJ145" t="s">
        <v>40</v>
      </c>
      <c r="BM145">
        <v>0</v>
      </c>
      <c r="BN145">
        <v>0</v>
      </c>
      <c r="BO145" t="s">
        <v>3</v>
      </c>
      <c r="BP145">
        <v>0</v>
      </c>
      <c r="BQ145">
        <v>1</v>
      </c>
      <c r="BR145">
        <v>1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70</v>
      </c>
      <c r="CA145">
        <v>10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132"/>
        <v>-379931.52</v>
      </c>
      <c r="CQ145">
        <f t="shared" si="133"/>
        <v>54.81</v>
      </c>
      <c r="CR145">
        <f>((((ET145)*BB145-(EU145)*BS145)+AE145*BS145)*AV145)</f>
        <v>0</v>
      </c>
      <c r="CS145">
        <f t="shared" si="134"/>
        <v>0</v>
      </c>
      <c r="CT145">
        <f t="shared" si="135"/>
        <v>0</v>
      </c>
      <c r="CU145">
        <f t="shared" si="136"/>
        <v>0</v>
      </c>
      <c r="CV145">
        <f t="shared" si="137"/>
        <v>0</v>
      </c>
      <c r="CW145">
        <f t="shared" si="138"/>
        <v>0</v>
      </c>
      <c r="CX145">
        <f t="shared" si="139"/>
        <v>0</v>
      </c>
      <c r="CY145">
        <f t="shared" si="140"/>
        <v>0</v>
      </c>
      <c r="CZ145">
        <f t="shared" si="141"/>
        <v>0</v>
      </c>
      <c r="DC145" t="s">
        <v>3</v>
      </c>
      <c r="DD145" t="s">
        <v>3</v>
      </c>
      <c r="DE145" t="s">
        <v>3</v>
      </c>
      <c r="DF145" t="s">
        <v>3</v>
      </c>
      <c r="DG145" t="s">
        <v>3</v>
      </c>
      <c r="DH145" t="s">
        <v>3</v>
      </c>
      <c r="DI145" t="s">
        <v>3</v>
      </c>
      <c r="DJ145" t="s">
        <v>3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1007</v>
      </c>
      <c r="DV145" t="s">
        <v>39</v>
      </c>
      <c r="DW145" t="s">
        <v>39</v>
      </c>
      <c r="DX145">
        <v>1</v>
      </c>
      <c r="DZ145" t="s">
        <v>3</v>
      </c>
      <c r="EA145" t="s">
        <v>3</v>
      </c>
      <c r="EB145" t="s">
        <v>3</v>
      </c>
      <c r="EC145" t="s">
        <v>3</v>
      </c>
      <c r="EE145">
        <v>80196140</v>
      </c>
      <c r="EF145">
        <v>1</v>
      </c>
      <c r="EG145" t="s">
        <v>23</v>
      </c>
      <c r="EH145">
        <v>0</v>
      </c>
      <c r="EI145" t="s">
        <v>3</v>
      </c>
      <c r="EJ145">
        <v>4</v>
      </c>
      <c r="EK145">
        <v>0</v>
      </c>
      <c r="EL145" t="s">
        <v>24</v>
      </c>
      <c r="EM145" t="s">
        <v>25</v>
      </c>
      <c r="EO145" t="s">
        <v>3</v>
      </c>
      <c r="EQ145">
        <v>0</v>
      </c>
      <c r="ER145">
        <v>54.81</v>
      </c>
      <c r="ES145">
        <v>54.81</v>
      </c>
      <c r="ET145">
        <v>0</v>
      </c>
      <c r="EU145">
        <v>0</v>
      </c>
      <c r="EV145">
        <v>0</v>
      </c>
      <c r="EW145">
        <v>0</v>
      </c>
      <c r="EX145">
        <v>0</v>
      </c>
      <c r="FQ145">
        <v>0</v>
      </c>
      <c r="FR145">
        <v>0</v>
      </c>
      <c r="FS145">
        <v>0</v>
      </c>
      <c r="FX145">
        <v>70</v>
      </c>
      <c r="FY145">
        <v>10</v>
      </c>
      <c r="GA145" t="s">
        <v>3</v>
      </c>
      <c r="GD145">
        <v>0</v>
      </c>
      <c r="GF145">
        <v>2112060389</v>
      </c>
      <c r="GG145">
        <v>2</v>
      </c>
      <c r="GH145">
        <v>1</v>
      </c>
      <c r="GI145">
        <v>-2</v>
      </c>
      <c r="GJ145">
        <v>0</v>
      </c>
      <c r="GK145">
        <f>ROUND(R145*(R12)/100,2)</f>
        <v>0</v>
      </c>
      <c r="GL145">
        <f t="shared" si="142"/>
        <v>0</v>
      </c>
      <c r="GM145">
        <f t="shared" si="143"/>
        <v>-379931.52</v>
      </c>
      <c r="GN145">
        <f t="shared" si="144"/>
        <v>0</v>
      </c>
      <c r="GO145">
        <f t="shared" si="145"/>
        <v>0</v>
      </c>
      <c r="GP145">
        <f t="shared" si="146"/>
        <v>-379931.52</v>
      </c>
      <c r="GR145">
        <v>0</v>
      </c>
      <c r="GS145">
        <v>3</v>
      </c>
      <c r="GT145">
        <v>0</v>
      </c>
      <c r="GU145" t="s">
        <v>3</v>
      </c>
      <c r="GV145">
        <f t="shared" si="147"/>
        <v>0</v>
      </c>
      <c r="GW145">
        <v>1</v>
      </c>
      <c r="GX145">
        <f t="shared" si="148"/>
        <v>0</v>
      </c>
      <c r="HA145">
        <v>0</v>
      </c>
      <c r="HB145">
        <v>0</v>
      </c>
      <c r="HC145">
        <f t="shared" si="149"/>
        <v>0</v>
      </c>
      <c r="HE145" t="s">
        <v>3</v>
      </c>
      <c r="HF145" t="s">
        <v>3</v>
      </c>
      <c r="HM145" t="s">
        <v>221</v>
      </c>
      <c r="HN145" t="s">
        <v>3</v>
      </c>
      <c r="HO145" t="s">
        <v>3</v>
      </c>
      <c r="HP145" t="s">
        <v>3</v>
      </c>
      <c r="HQ145" t="s">
        <v>3</v>
      </c>
      <c r="HS145">
        <v>0</v>
      </c>
      <c r="IK145">
        <v>0</v>
      </c>
    </row>
    <row r="146" spans="1:245" x14ac:dyDescent="0.25">
      <c r="A146">
        <v>17</v>
      </c>
      <c r="B146">
        <v>1</v>
      </c>
      <c r="C146">
        <f>ROW(SmtRes!A69)</f>
        <v>69</v>
      </c>
      <c r="D146">
        <f>ROW(EtalonRes!A69)</f>
        <v>69</v>
      </c>
      <c r="E146" t="s">
        <v>227</v>
      </c>
      <c r="F146" t="s">
        <v>228</v>
      </c>
      <c r="G146" t="s">
        <v>229</v>
      </c>
      <c r="H146" t="s">
        <v>29</v>
      </c>
      <c r="I146">
        <f>ROUND(61891/100,9)</f>
        <v>618.91</v>
      </c>
      <c r="J146">
        <v>0</v>
      </c>
      <c r="K146">
        <f>ROUND(61891/100,9)</f>
        <v>618.91</v>
      </c>
      <c r="O146">
        <f t="shared" si="116"/>
        <v>217590.19</v>
      </c>
      <c r="P146">
        <f t="shared" si="117"/>
        <v>0</v>
      </c>
      <c r="Q146">
        <f t="shared" si="118"/>
        <v>0</v>
      </c>
      <c r="R146">
        <f t="shared" si="119"/>
        <v>0</v>
      </c>
      <c r="S146">
        <f t="shared" si="120"/>
        <v>217590.19</v>
      </c>
      <c r="T146">
        <f t="shared" si="121"/>
        <v>0</v>
      </c>
      <c r="U146">
        <f t="shared" si="122"/>
        <v>433.23699999999997</v>
      </c>
      <c r="V146">
        <f t="shared" si="123"/>
        <v>0</v>
      </c>
      <c r="W146">
        <f t="shared" si="124"/>
        <v>0</v>
      </c>
      <c r="X146">
        <f t="shared" si="125"/>
        <v>152313.13</v>
      </c>
      <c r="Y146">
        <f t="shared" si="126"/>
        <v>21759.02</v>
      </c>
      <c r="AA146">
        <v>80889732</v>
      </c>
      <c r="AB146">
        <f t="shared" si="127"/>
        <v>351.57</v>
      </c>
      <c r="AC146">
        <f>ROUND((ES146),6)</f>
        <v>0</v>
      </c>
      <c r="AD146">
        <f>ROUND((((ET146)-(EU146))+AE146),6)</f>
        <v>0</v>
      </c>
      <c r="AE146">
        <f t="shared" si="150"/>
        <v>0</v>
      </c>
      <c r="AF146">
        <f t="shared" si="150"/>
        <v>351.57</v>
      </c>
      <c r="AG146">
        <f t="shared" si="129"/>
        <v>0</v>
      </c>
      <c r="AH146">
        <f t="shared" si="151"/>
        <v>0.7</v>
      </c>
      <c r="AI146">
        <f t="shared" si="151"/>
        <v>0</v>
      </c>
      <c r="AJ146">
        <f t="shared" si="131"/>
        <v>0</v>
      </c>
      <c r="AK146">
        <v>351.57</v>
      </c>
      <c r="AL146">
        <v>0</v>
      </c>
      <c r="AM146">
        <v>0</v>
      </c>
      <c r="AN146">
        <v>0</v>
      </c>
      <c r="AO146">
        <v>351.57</v>
      </c>
      <c r="AP146">
        <v>0</v>
      </c>
      <c r="AQ146">
        <v>0.7</v>
      </c>
      <c r="AR146">
        <v>0</v>
      </c>
      <c r="AS146">
        <v>0</v>
      </c>
      <c r="AT146">
        <v>70</v>
      </c>
      <c r="AU146">
        <v>10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1</v>
      </c>
      <c r="BD146" t="s">
        <v>3</v>
      </c>
      <c r="BE146" t="s">
        <v>3</v>
      </c>
      <c r="BF146" t="s">
        <v>3</v>
      </c>
      <c r="BG146" t="s">
        <v>3</v>
      </c>
      <c r="BH146">
        <v>0</v>
      </c>
      <c r="BI146">
        <v>4</v>
      </c>
      <c r="BJ146" t="s">
        <v>230</v>
      </c>
      <c r="BM146">
        <v>0</v>
      </c>
      <c r="BN146">
        <v>0</v>
      </c>
      <c r="BO146" t="s">
        <v>3</v>
      </c>
      <c r="BP146">
        <v>0</v>
      </c>
      <c r="BQ146">
        <v>1</v>
      </c>
      <c r="BR146">
        <v>0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70</v>
      </c>
      <c r="CA146">
        <v>10</v>
      </c>
      <c r="CB146" t="s">
        <v>3</v>
      </c>
      <c r="CE146">
        <v>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132"/>
        <v>217590.19</v>
      </c>
      <c r="CQ146">
        <f t="shared" si="133"/>
        <v>0</v>
      </c>
      <c r="CR146">
        <f>((((ET146)*BB146-(EU146)*BS146)+AE146*BS146)*AV146)</f>
        <v>0</v>
      </c>
      <c r="CS146">
        <f t="shared" si="134"/>
        <v>0</v>
      </c>
      <c r="CT146">
        <f t="shared" si="135"/>
        <v>351.57</v>
      </c>
      <c r="CU146">
        <f t="shared" si="136"/>
        <v>0</v>
      </c>
      <c r="CV146">
        <f t="shared" si="137"/>
        <v>0.7</v>
      </c>
      <c r="CW146">
        <f t="shared" si="138"/>
        <v>0</v>
      </c>
      <c r="CX146">
        <f t="shared" si="139"/>
        <v>0</v>
      </c>
      <c r="CY146">
        <f t="shared" si="140"/>
        <v>152313.133</v>
      </c>
      <c r="CZ146">
        <f t="shared" si="141"/>
        <v>21759.019</v>
      </c>
      <c r="DC146" t="s">
        <v>3</v>
      </c>
      <c r="DD146" t="s">
        <v>3</v>
      </c>
      <c r="DE146" t="s">
        <v>3</v>
      </c>
      <c r="DF146" t="s">
        <v>3</v>
      </c>
      <c r="DG146" t="s">
        <v>3</v>
      </c>
      <c r="DH146" t="s">
        <v>3</v>
      </c>
      <c r="DI146" t="s">
        <v>3</v>
      </c>
      <c r="DJ146" t="s">
        <v>3</v>
      </c>
      <c r="DK146" t="s">
        <v>3</v>
      </c>
      <c r="DL146" t="s">
        <v>3</v>
      </c>
      <c r="DM146" t="s">
        <v>3</v>
      </c>
      <c r="DN146">
        <v>0</v>
      </c>
      <c r="DO146">
        <v>0</v>
      </c>
      <c r="DP146">
        <v>1</v>
      </c>
      <c r="DQ146">
        <v>1</v>
      </c>
      <c r="DU146">
        <v>1005</v>
      </c>
      <c r="DV146" t="s">
        <v>29</v>
      </c>
      <c r="DW146" t="s">
        <v>29</v>
      </c>
      <c r="DX146">
        <v>100</v>
      </c>
      <c r="DZ146" t="s">
        <v>3</v>
      </c>
      <c r="EA146" t="s">
        <v>3</v>
      </c>
      <c r="EB146" t="s">
        <v>3</v>
      </c>
      <c r="EC146" t="s">
        <v>3</v>
      </c>
      <c r="EE146">
        <v>80196140</v>
      </c>
      <c r="EF146">
        <v>1</v>
      </c>
      <c r="EG146" t="s">
        <v>23</v>
      </c>
      <c r="EH146">
        <v>0</v>
      </c>
      <c r="EI146" t="s">
        <v>3</v>
      </c>
      <c r="EJ146">
        <v>4</v>
      </c>
      <c r="EK146">
        <v>0</v>
      </c>
      <c r="EL146" t="s">
        <v>24</v>
      </c>
      <c r="EM146" t="s">
        <v>25</v>
      </c>
      <c r="EO146" t="s">
        <v>3</v>
      </c>
      <c r="EQ146">
        <v>0</v>
      </c>
      <c r="ER146">
        <v>351.57</v>
      </c>
      <c r="ES146">
        <v>0</v>
      </c>
      <c r="ET146">
        <v>0</v>
      </c>
      <c r="EU146">
        <v>0</v>
      </c>
      <c r="EV146">
        <v>351.57</v>
      </c>
      <c r="EW146">
        <v>0.7</v>
      </c>
      <c r="EX146">
        <v>0</v>
      </c>
      <c r="EY146">
        <v>0</v>
      </c>
      <c r="FQ146">
        <v>0</v>
      </c>
      <c r="FR146">
        <v>0</v>
      </c>
      <c r="FS146">
        <v>0</v>
      </c>
      <c r="FX146">
        <v>70</v>
      </c>
      <c r="FY146">
        <v>10</v>
      </c>
      <c r="GA146" t="s">
        <v>3</v>
      </c>
      <c r="GD146">
        <v>0</v>
      </c>
      <c r="GF146">
        <v>1438564923</v>
      </c>
      <c r="GG146">
        <v>2</v>
      </c>
      <c r="GH146">
        <v>1</v>
      </c>
      <c r="GI146">
        <v>-2</v>
      </c>
      <c r="GJ146">
        <v>0</v>
      </c>
      <c r="GK146">
        <f>ROUND(R146*(R12)/100,2)</f>
        <v>0</v>
      </c>
      <c r="GL146">
        <f t="shared" si="142"/>
        <v>0</v>
      </c>
      <c r="GM146">
        <f t="shared" si="143"/>
        <v>391662.34</v>
      </c>
      <c r="GN146">
        <f t="shared" si="144"/>
        <v>0</v>
      </c>
      <c r="GO146">
        <f t="shared" si="145"/>
        <v>0</v>
      </c>
      <c r="GP146">
        <f t="shared" si="146"/>
        <v>391662.34</v>
      </c>
      <c r="GR146">
        <v>0</v>
      </c>
      <c r="GS146">
        <v>3</v>
      </c>
      <c r="GT146">
        <v>0</v>
      </c>
      <c r="GU146" t="s">
        <v>3</v>
      </c>
      <c r="GV146">
        <f t="shared" si="147"/>
        <v>0</v>
      </c>
      <c r="GW146">
        <v>1</v>
      </c>
      <c r="GX146">
        <f t="shared" si="148"/>
        <v>0</v>
      </c>
      <c r="HA146">
        <v>0</v>
      </c>
      <c r="HB146">
        <v>0</v>
      </c>
      <c r="HC146">
        <f t="shared" si="149"/>
        <v>0</v>
      </c>
      <c r="HE146" t="s">
        <v>3</v>
      </c>
      <c r="HF146" t="s">
        <v>3</v>
      </c>
      <c r="HM146" t="s">
        <v>3</v>
      </c>
      <c r="HN146" t="s">
        <v>3</v>
      </c>
      <c r="HO146" t="s">
        <v>3</v>
      </c>
      <c r="HP146" t="s">
        <v>3</v>
      </c>
      <c r="HQ146" t="s">
        <v>3</v>
      </c>
      <c r="HS146">
        <v>0</v>
      </c>
      <c r="IK146">
        <v>0</v>
      </c>
    </row>
    <row r="147" spans="1:245" x14ac:dyDescent="0.25">
      <c r="A147">
        <v>18</v>
      </c>
      <c r="B147">
        <v>1</v>
      </c>
      <c r="C147">
        <v>69</v>
      </c>
      <c r="E147" t="s">
        <v>231</v>
      </c>
      <c r="F147" t="s">
        <v>232</v>
      </c>
      <c r="G147" t="s">
        <v>233</v>
      </c>
      <c r="H147" t="s">
        <v>234</v>
      </c>
      <c r="I147">
        <f>I146*J147</f>
        <v>3094.55</v>
      </c>
      <c r="J147">
        <v>5.0000000000000009</v>
      </c>
      <c r="K147">
        <v>5</v>
      </c>
      <c r="O147">
        <f t="shared" si="116"/>
        <v>339224.57</v>
      </c>
      <c r="P147">
        <f t="shared" si="117"/>
        <v>339224.57</v>
      </c>
      <c r="Q147">
        <f t="shared" si="118"/>
        <v>0</v>
      </c>
      <c r="R147">
        <f t="shared" si="119"/>
        <v>0</v>
      </c>
      <c r="S147">
        <f t="shared" si="120"/>
        <v>0</v>
      </c>
      <c r="T147">
        <f t="shared" si="121"/>
        <v>0</v>
      </c>
      <c r="U147">
        <f t="shared" si="122"/>
        <v>0</v>
      </c>
      <c r="V147">
        <f t="shared" si="123"/>
        <v>0</v>
      </c>
      <c r="W147">
        <f t="shared" si="124"/>
        <v>0</v>
      </c>
      <c r="X147">
        <f t="shared" si="125"/>
        <v>0</v>
      </c>
      <c r="Y147">
        <f t="shared" si="126"/>
        <v>0</v>
      </c>
      <c r="AA147">
        <v>80889732</v>
      </c>
      <c r="AB147">
        <f t="shared" si="127"/>
        <v>109.62</v>
      </c>
      <c r="AC147">
        <f>ROUND((ES147),6)</f>
        <v>109.62</v>
      </c>
      <c r="AD147">
        <f>ROUND((((ET147)-(EU147))+AE147),6)</f>
        <v>0</v>
      </c>
      <c r="AE147">
        <f t="shared" si="150"/>
        <v>0</v>
      </c>
      <c r="AF147">
        <f t="shared" si="150"/>
        <v>0</v>
      </c>
      <c r="AG147">
        <f t="shared" si="129"/>
        <v>0</v>
      </c>
      <c r="AH147">
        <f t="shared" si="151"/>
        <v>0</v>
      </c>
      <c r="AI147">
        <f t="shared" si="151"/>
        <v>0</v>
      </c>
      <c r="AJ147">
        <f t="shared" si="131"/>
        <v>0</v>
      </c>
      <c r="AK147">
        <v>109.62</v>
      </c>
      <c r="AL147">
        <v>109.62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70</v>
      </c>
      <c r="AU147">
        <v>10</v>
      </c>
      <c r="AV147">
        <v>1</v>
      </c>
      <c r="AW147">
        <v>1</v>
      </c>
      <c r="AZ147">
        <v>1</v>
      </c>
      <c r="BA147">
        <v>1</v>
      </c>
      <c r="BB147">
        <v>1</v>
      </c>
      <c r="BC147">
        <v>1</v>
      </c>
      <c r="BD147" t="s">
        <v>3</v>
      </c>
      <c r="BE147" t="s">
        <v>3</v>
      </c>
      <c r="BF147" t="s">
        <v>3</v>
      </c>
      <c r="BG147" t="s">
        <v>3</v>
      </c>
      <c r="BH147">
        <v>3</v>
      </c>
      <c r="BI147">
        <v>4</v>
      </c>
      <c r="BJ147" t="s">
        <v>235</v>
      </c>
      <c r="BM147">
        <v>0</v>
      </c>
      <c r="BN147">
        <v>0</v>
      </c>
      <c r="BO147" t="s">
        <v>3</v>
      </c>
      <c r="BP147">
        <v>0</v>
      </c>
      <c r="BQ147">
        <v>1</v>
      </c>
      <c r="BR147">
        <v>0</v>
      </c>
      <c r="BS147">
        <v>1</v>
      </c>
      <c r="BT147">
        <v>1</v>
      </c>
      <c r="BU147">
        <v>1</v>
      </c>
      <c r="BV147">
        <v>1</v>
      </c>
      <c r="BW147">
        <v>1</v>
      </c>
      <c r="BX147">
        <v>1</v>
      </c>
      <c r="BY147" t="s">
        <v>3</v>
      </c>
      <c r="BZ147">
        <v>70</v>
      </c>
      <c r="CA147">
        <v>10</v>
      </c>
      <c r="CB147" t="s">
        <v>3</v>
      </c>
      <c r="CE147">
        <v>0</v>
      </c>
      <c r="CF147">
        <v>0</v>
      </c>
      <c r="CG147">
        <v>0</v>
      </c>
      <c r="CM147">
        <v>0</v>
      </c>
      <c r="CN147" t="s">
        <v>3</v>
      </c>
      <c r="CO147">
        <v>0</v>
      </c>
      <c r="CP147">
        <f t="shared" si="132"/>
        <v>339224.57</v>
      </c>
      <c r="CQ147">
        <f t="shared" si="133"/>
        <v>109.62</v>
      </c>
      <c r="CR147">
        <f>((((ET147)*BB147-(EU147)*BS147)+AE147*BS147)*AV147)</f>
        <v>0</v>
      </c>
      <c r="CS147">
        <f t="shared" si="134"/>
        <v>0</v>
      </c>
      <c r="CT147">
        <f t="shared" si="135"/>
        <v>0</v>
      </c>
      <c r="CU147">
        <f t="shared" si="136"/>
        <v>0</v>
      </c>
      <c r="CV147">
        <f t="shared" si="137"/>
        <v>0</v>
      </c>
      <c r="CW147">
        <f t="shared" si="138"/>
        <v>0</v>
      </c>
      <c r="CX147">
        <f t="shared" si="139"/>
        <v>0</v>
      </c>
      <c r="CY147">
        <f t="shared" si="140"/>
        <v>0</v>
      </c>
      <c r="CZ147">
        <f t="shared" si="141"/>
        <v>0</v>
      </c>
      <c r="DC147" t="s">
        <v>3</v>
      </c>
      <c r="DD147" t="s">
        <v>3</v>
      </c>
      <c r="DE147" t="s">
        <v>3</v>
      </c>
      <c r="DF147" t="s">
        <v>3</v>
      </c>
      <c r="DG147" t="s">
        <v>3</v>
      </c>
      <c r="DH147" t="s">
        <v>3</v>
      </c>
      <c r="DI147" t="s">
        <v>3</v>
      </c>
      <c r="DJ147" t="s">
        <v>3</v>
      </c>
      <c r="DK147" t="s">
        <v>3</v>
      </c>
      <c r="DL147" t="s">
        <v>3</v>
      </c>
      <c r="DM147" t="s">
        <v>3</v>
      </c>
      <c r="DN147">
        <v>0</v>
      </c>
      <c r="DO147">
        <v>0</v>
      </c>
      <c r="DP147">
        <v>1</v>
      </c>
      <c r="DQ147">
        <v>1</v>
      </c>
      <c r="DU147">
        <v>1009</v>
      </c>
      <c r="DV147" t="s">
        <v>234</v>
      </c>
      <c r="DW147" t="s">
        <v>234</v>
      </c>
      <c r="DX147">
        <v>1</v>
      </c>
      <c r="DZ147" t="s">
        <v>3</v>
      </c>
      <c r="EA147" t="s">
        <v>3</v>
      </c>
      <c r="EB147" t="s">
        <v>3</v>
      </c>
      <c r="EC147" t="s">
        <v>3</v>
      </c>
      <c r="EE147">
        <v>80196140</v>
      </c>
      <c r="EF147">
        <v>1</v>
      </c>
      <c r="EG147" t="s">
        <v>23</v>
      </c>
      <c r="EH147">
        <v>0</v>
      </c>
      <c r="EI147" t="s">
        <v>3</v>
      </c>
      <c r="EJ147">
        <v>4</v>
      </c>
      <c r="EK147">
        <v>0</v>
      </c>
      <c r="EL147" t="s">
        <v>24</v>
      </c>
      <c r="EM147" t="s">
        <v>25</v>
      </c>
      <c r="EO147" t="s">
        <v>3</v>
      </c>
      <c r="EQ147">
        <v>0</v>
      </c>
      <c r="ER147">
        <v>109.62</v>
      </c>
      <c r="ES147">
        <v>109.62</v>
      </c>
      <c r="ET147">
        <v>0</v>
      </c>
      <c r="EU147">
        <v>0</v>
      </c>
      <c r="EV147">
        <v>0</v>
      </c>
      <c r="EW147">
        <v>0</v>
      </c>
      <c r="EX147">
        <v>0</v>
      </c>
      <c r="FQ147">
        <v>0</v>
      </c>
      <c r="FR147">
        <v>0</v>
      </c>
      <c r="FS147">
        <v>0</v>
      </c>
      <c r="FX147">
        <v>70</v>
      </c>
      <c r="FY147">
        <v>10</v>
      </c>
      <c r="GA147" t="s">
        <v>3</v>
      </c>
      <c r="GD147">
        <v>0</v>
      </c>
      <c r="GF147">
        <v>-606801753</v>
      </c>
      <c r="GG147">
        <v>2</v>
      </c>
      <c r="GH147">
        <v>1</v>
      </c>
      <c r="GI147">
        <v>-2</v>
      </c>
      <c r="GJ147">
        <v>0</v>
      </c>
      <c r="GK147">
        <f>ROUND(R147*(R12)/100,2)</f>
        <v>0</v>
      </c>
      <c r="GL147">
        <f t="shared" si="142"/>
        <v>0</v>
      </c>
      <c r="GM147">
        <f t="shared" si="143"/>
        <v>339224.57</v>
      </c>
      <c r="GN147">
        <f t="shared" si="144"/>
        <v>0</v>
      </c>
      <c r="GO147">
        <f t="shared" si="145"/>
        <v>0</v>
      </c>
      <c r="GP147">
        <f t="shared" si="146"/>
        <v>339224.57</v>
      </c>
      <c r="GR147">
        <v>0</v>
      </c>
      <c r="GS147">
        <v>3</v>
      </c>
      <c r="GT147">
        <v>0</v>
      </c>
      <c r="GU147" t="s">
        <v>3</v>
      </c>
      <c r="GV147">
        <f t="shared" si="147"/>
        <v>0</v>
      </c>
      <c r="GW147">
        <v>1</v>
      </c>
      <c r="GX147">
        <f t="shared" si="148"/>
        <v>0</v>
      </c>
      <c r="HA147">
        <v>0</v>
      </c>
      <c r="HB147">
        <v>0</v>
      </c>
      <c r="HC147">
        <f t="shared" si="149"/>
        <v>0</v>
      </c>
      <c r="HE147" t="s">
        <v>3</v>
      </c>
      <c r="HF147" t="s">
        <v>3</v>
      </c>
      <c r="HM147" t="s">
        <v>3</v>
      </c>
      <c r="HN147" t="s">
        <v>3</v>
      </c>
      <c r="HO147" t="s">
        <v>3</v>
      </c>
      <c r="HP147" t="s">
        <v>3</v>
      </c>
      <c r="HQ147" t="s">
        <v>3</v>
      </c>
      <c r="HS147">
        <v>0</v>
      </c>
      <c r="IK147">
        <v>0</v>
      </c>
    </row>
    <row r="148" spans="1:245" x14ac:dyDescent="0.25">
      <c r="A148">
        <v>17</v>
      </c>
      <c r="B148">
        <v>1</v>
      </c>
      <c r="C148">
        <f>ROW(SmtRes!A71)</f>
        <v>71</v>
      </c>
      <c r="D148">
        <f>ROW(EtalonRes!A71)</f>
        <v>71</v>
      </c>
      <c r="E148" t="s">
        <v>236</v>
      </c>
      <c r="F148" t="s">
        <v>237</v>
      </c>
      <c r="G148" t="s">
        <v>238</v>
      </c>
      <c r="H148" t="s">
        <v>239</v>
      </c>
      <c r="I148">
        <f>ROUND(2629/10,9)</f>
        <v>262.89999999999998</v>
      </c>
      <c r="J148">
        <v>0</v>
      </c>
      <c r="K148">
        <f>ROUND(2629/10,9)</f>
        <v>262.89999999999998</v>
      </c>
      <c r="O148">
        <f t="shared" si="116"/>
        <v>1770852.33</v>
      </c>
      <c r="P148">
        <f t="shared" si="117"/>
        <v>2176.81</v>
      </c>
      <c r="Q148">
        <f t="shared" si="118"/>
        <v>0</v>
      </c>
      <c r="R148">
        <f t="shared" si="119"/>
        <v>0</v>
      </c>
      <c r="S148">
        <f t="shared" si="120"/>
        <v>1768675.52</v>
      </c>
      <c r="T148">
        <f t="shared" si="121"/>
        <v>0</v>
      </c>
      <c r="U148">
        <f t="shared" si="122"/>
        <v>2492.2919999999999</v>
      </c>
      <c r="V148">
        <f t="shared" si="123"/>
        <v>0</v>
      </c>
      <c r="W148">
        <f t="shared" si="124"/>
        <v>0</v>
      </c>
      <c r="X148">
        <f t="shared" si="125"/>
        <v>1238072.8600000001</v>
      </c>
      <c r="Y148">
        <f t="shared" si="126"/>
        <v>176867.55</v>
      </c>
      <c r="AA148">
        <v>80889732</v>
      </c>
      <c r="AB148">
        <f t="shared" si="127"/>
        <v>6735.84</v>
      </c>
      <c r="AC148">
        <f>ROUND(((ES148*6)),6)</f>
        <v>8.2799999999999994</v>
      </c>
      <c r="AD148">
        <f>ROUND(((((ET148*6))-((EU148*6)))+AE148),6)</f>
        <v>0</v>
      </c>
      <c r="AE148">
        <f>ROUND(((EU148*6)),6)</f>
        <v>0</v>
      </c>
      <c r="AF148">
        <f>ROUND(((EV148*6)),6)</f>
        <v>6727.56</v>
      </c>
      <c r="AG148">
        <f t="shared" si="129"/>
        <v>0</v>
      </c>
      <c r="AH148">
        <f>((EW148*6))</f>
        <v>9.48</v>
      </c>
      <c r="AI148">
        <f>((EX148*6))</f>
        <v>0</v>
      </c>
      <c r="AJ148">
        <f t="shared" si="131"/>
        <v>0</v>
      </c>
      <c r="AK148">
        <v>1122.6400000000001</v>
      </c>
      <c r="AL148">
        <v>1.38</v>
      </c>
      <c r="AM148">
        <v>0</v>
      </c>
      <c r="AN148">
        <v>0</v>
      </c>
      <c r="AO148">
        <v>1121.26</v>
      </c>
      <c r="AP148">
        <v>0</v>
      </c>
      <c r="AQ148">
        <v>1.58</v>
      </c>
      <c r="AR148">
        <v>0</v>
      </c>
      <c r="AS148">
        <v>0</v>
      </c>
      <c r="AT148">
        <v>70</v>
      </c>
      <c r="AU148">
        <v>10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</v>
      </c>
      <c r="BD148" t="s">
        <v>3</v>
      </c>
      <c r="BE148" t="s">
        <v>3</v>
      </c>
      <c r="BF148" t="s">
        <v>3</v>
      </c>
      <c r="BG148" t="s">
        <v>3</v>
      </c>
      <c r="BH148">
        <v>0</v>
      </c>
      <c r="BI148">
        <v>4</v>
      </c>
      <c r="BJ148" t="s">
        <v>240</v>
      </c>
      <c r="BM148">
        <v>0</v>
      </c>
      <c r="BN148">
        <v>0</v>
      </c>
      <c r="BO148" t="s">
        <v>3</v>
      </c>
      <c r="BP148">
        <v>0</v>
      </c>
      <c r="BQ148">
        <v>1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70</v>
      </c>
      <c r="CA148">
        <v>10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si="132"/>
        <v>1770852.33</v>
      </c>
      <c r="CQ148">
        <f t="shared" si="133"/>
        <v>8.2799999999999994</v>
      </c>
      <c r="CR148">
        <f>(((((ET148*6))*BB148-((EU148*6))*BS148)+AE148*BS148)*AV148)</f>
        <v>0</v>
      </c>
      <c r="CS148">
        <f t="shared" si="134"/>
        <v>0</v>
      </c>
      <c r="CT148">
        <f t="shared" si="135"/>
        <v>6727.56</v>
      </c>
      <c r="CU148">
        <f t="shared" si="136"/>
        <v>0</v>
      </c>
      <c r="CV148">
        <f t="shared" si="137"/>
        <v>9.48</v>
      </c>
      <c r="CW148">
        <f t="shared" si="138"/>
        <v>0</v>
      </c>
      <c r="CX148">
        <f t="shared" si="139"/>
        <v>0</v>
      </c>
      <c r="CY148">
        <f t="shared" si="140"/>
        <v>1238072.8640000001</v>
      </c>
      <c r="CZ148">
        <f t="shared" si="141"/>
        <v>176867.552</v>
      </c>
      <c r="DC148" t="s">
        <v>3</v>
      </c>
      <c r="DD148" t="s">
        <v>241</v>
      </c>
      <c r="DE148" t="s">
        <v>241</v>
      </c>
      <c r="DF148" t="s">
        <v>241</v>
      </c>
      <c r="DG148" t="s">
        <v>241</v>
      </c>
      <c r="DH148" t="s">
        <v>3</v>
      </c>
      <c r="DI148" t="s">
        <v>241</v>
      </c>
      <c r="DJ148" t="s">
        <v>241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1010</v>
      </c>
      <c r="DV148" t="s">
        <v>239</v>
      </c>
      <c r="DW148" t="s">
        <v>239</v>
      </c>
      <c r="DX148">
        <v>10</v>
      </c>
      <c r="DZ148" t="s">
        <v>3</v>
      </c>
      <c r="EA148" t="s">
        <v>3</v>
      </c>
      <c r="EB148" t="s">
        <v>3</v>
      </c>
      <c r="EC148" t="s">
        <v>3</v>
      </c>
      <c r="EE148">
        <v>80196140</v>
      </c>
      <c r="EF148">
        <v>1</v>
      </c>
      <c r="EG148" t="s">
        <v>23</v>
      </c>
      <c r="EH148">
        <v>0</v>
      </c>
      <c r="EI148" t="s">
        <v>3</v>
      </c>
      <c r="EJ148">
        <v>4</v>
      </c>
      <c r="EK148">
        <v>0</v>
      </c>
      <c r="EL148" t="s">
        <v>24</v>
      </c>
      <c r="EM148" t="s">
        <v>25</v>
      </c>
      <c r="EO148" t="s">
        <v>3</v>
      </c>
      <c r="EQ148">
        <v>0</v>
      </c>
      <c r="ER148">
        <v>1122.6400000000001</v>
      </c>
      <c r="ES148">
        <v>1.38</v>
      </c>
      <c r="ET148">
        <v>0</v>
      </c>
      <c r="EU148">
        <v>0</v>
      </c>
      <c r="EV148">
        <v>1121.26</v>
      </c>
      <c r="EW148">
        <v>1.58</v>
      </c>
      <c r="EX148">
        <v>0</v>
      </c>
      <c r="EY148">
        <v>0</v>
      </c>
      <c r="FQ148">
        <v>0</v>
      </c>
      <c r="FR148">
        <v>0</v>
      </c>
      <c r="FS148">
        <v>0</v>
      </c>
      <c r="FX148">
        <v>70</v>
      </c>
      <c r="FY148">
        <v>10</v>
      </c>
      <c r="GA148" t="s">
        <v>3</v>
      </c>
      <c r="GD148">
        <v>0</v>
      </c>
      <c r="GF148">
        <v>-1899280247</v>
      </c>
      <c r="GG148">
        <v>2</v>
      </c>
      <c r="GH148">
        <v>1</v>
      </c>
      <c r="GI148">
        <v>-2</v>
      </c>
      <c r="GJ148">
        <v>0</v>
      </c>
      <c r="GK148">
        <f>ROUND(R148*(R12)/100,2)</f>
        <v>0</v>
      </c>
      <c r="GL148">
        <f t="shared" si="142"/>
        <v>0</v>
      </c>
      <c r="GM148">
        <f t="shared" si="143"/>
        <v>3185792.74</v>
      </c>
      <c r="GN148">
        <f t="shared" si="144"/>
        <v>0</v>
      </c>
      <c r="GO148">
        <f t="shared" si="145"/>
        <v>0</v>
      </c>
      <c r="GP148">
        <f t="shared" si="146"/>
        <v>3185792.74</v>
      </c>
      <c r="GR148">
        <v>0</v>
      </c>
      <c r="GS148">
        <v>3</v>
      </c>
      <c r="GT148">
        <v>0</v>
      </c>
      <c r="GU148" t="s">
        <v>3</v>
      </c>
      <c r="GV148">
        <f t="shared" si="147"/>
        <v>0</v>
      </c>
      <c r="GW148">
        <v>1</v>
      </c>
      <c r="GX148">
        <f t="shared" si="148"/>
        <v>0</v>
      </c>
      <c r="HA148">
        <v>0</v>
      </c>
      <c r="HB148">
        <v>0</v>
      </c>
      <c r="HC148">
        <f t="shared" si="149"/>
        <v>0</v>
      </c>
      <c r="HE148" t="s">
        <v>3</v>
      </c>
      <c r="HF148" t="s">
        <v>3</v>
      </c>
      <c r="HM148" t="s">
        <v>3</v>
      </c>
      <c r="HN148" t="s">
        <v>3</v>
      </c>
      <c r="HO148" t="s">
        <v>3</v>
      </c>
      <c r="HP148" t="s">
        <v>3</v>
      </c>
      <c r="HQ148" t="s">
        <v>3</v>
      </c>
      <c r="HS148">
        <v>0</v>
      </c>
      <c r="IK148">
        <v>0</v>
      </c>
    </row>
    <row r="149" spans="1:245" x14ac:dyDescent="0.25">
      <c r="A149">
        <v>17</v>
      </c>
      <c r="B149">
        <v>1</v>
      </c>
      <c r="C149">
        <f>ROW(SmtRes!A74)</f>
        <v>74</v>
      </c>
      <c r="D149">
        <f>ROW(EtalonRes!A74)</f>
        <v>74</v>
      </c>
      <c r="E149" t="s">
        <v>242</v>
      </c>
      <c r="F149" t="s">
        <v>223</v>
      </c>
      <c r="G149" t="s">
        <v>243</v>
      </c>
      <c r="H149" t="s">
        <v>39</v>
      </c>
      <c r="I149">
        <v>114.872</v>
      </c>
      <c r="J149">
        <v>0</v>
      </c>
      <c r="K149">
        <v>114.872</v>
      </c>
      <c r="O149">
        <f t="shared" si="116"/>
        <v>3655360.29</v>
      </c>
      <c r="P149">
        <f t="shared" si="117"/>
        <v>176291.76</v>
      </c>
      <c r="Q149">
        <f t="shared" si="118"/>
        <v>2892426.42</v>
      </c>
      <c r="R149">
        <f t="shared" si="119"/>
        <v>998568.51</v>
      </c>
      <c r="S149">
        <f t="shared" si="120"/>
        <v>586642.11</v>
      </c>
      <c r="T149">
        <f t="shared" si="121"/>
        <v>0</v>
      </c>
      <c r="U149">
        <f t="shared" si="122"/>
        <v>1801.1929600000001</v>
      </c>
      <c r="V149">
        <f t="shared" si="123"/>
        <v>0</v>
      </c>
      <c r="W149">
        <f t="shared" si="124"/>
        <v>0</v>
      </c>
      <c r="X149">
        <f t="shared" si="125"/>
        <v>410649.48</v>
      </c>
      <c r="Y149">
        <f t="shared" si="126"/>
        <v>58664.21</v>
      </c>
      <c r="AA149">
        <v>80889732</v>
      </c>
      <c r="AB149">
        <f t="shared" si="127"/>
        <v>31821.16</v>
      </c>
      <c r="AC149">
        <f>ROUND(((ES149*28)),6)</f>
        <v>1534.68</v>
      </c>
      <c r="AD149">
        <f>ROUND(((((ET149*28))-((EU149*28)))+AE149),6)</f>
        <v>25179.56</v>
      </c>
      <c r="AE149">
        <f>ROUND(((EU149*28)),6)</f>
        <v>8692.8799999999992</v>
      </c>
      <c r="AF149">
        <f>ROUND(((EV149*28)),6)</f>
        <v>5106.92</v>
      </c>
      <c r="AG149">
        <f t="shared" si="129"/>
        <v>0</v>
      </c>
      <c r="AH149">
        <f>((EW149*28))</f>
        <v>15.680000000000001</v>
      </c>
      <c r="AI149">
        <f>((EX149*28))</f>
        <v>0</v>
      </c>
      <c r="AJ149">
        <f t="shared" si="131"/>
        <v>0</v>
      </c>
      <c r="AK149">
        <v>1136.47</v>
      </c>
      <c r="AL149">
        <v>54.81</v>
      </c>
      <c r="AM149">
        <v>899.27</v>
      </c>
      <c r="AN149">
        <v>310.45999999999998</v>
      </c>
      <c r="AO149">
        <v>182.39</v>
      </c>
      <c r="AP149">
        <v>0</v>
      </c>
      <c r="AQ149">
        <v>0.56000000000000005</v>
      </c>
      <c r="AR149">
        <v>0</v>
      </c>
      <c r="AS149">
        <v>0</v>
      </c>
      <c r="AT149">
        <v>70</v>
      </c>
      <c r="AU149">
        <v>10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0</v>
      </c>
      <c r="BI149">
        <v>4</v>
      </c>
      <c r="BJ149" t="s">
        <v>225</v>
      </c>
      <c r="BM149">
        <v>0</v>
      </c>
      <c r="BN149">
        <v>0</v>
      </c>
      <c r="BO149" t="s">
        <v>3</v>
      </c>
      <c r="BP149">
        <v>0</v>
      </c>
      <c r="BQ149">
        <v>1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70</v>
      </c>
      <c r="CA149">
        <v>10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132"/>
        <v>3655360.2899999996</v>
      </c>
      <c r="CQ149">
        <f t="shared" si="133"/>
        <v>1534.68</v>
      </c>
      <c r="CR149">
        <f>(((((ET149*28))*BB149-((EU149*28))*BS149)+AE149*BS149)*AV149)</f>
        <v>25179.559999999998</v>
      </c>
      <c r="CS149">
        <f t="shared" si="134"/>
        <v>8692.8799999999992</v>
      </c>
      <c r="CT149">
        <f t="shared" si="135"/>
        <v>5106.92</v>
      </c>
      <c r="CU149">
        <f t="shared" si="136"/>
        <v>0</v>
      </c>
      <c r="CV149">
        <f t="shared" si="137"/>
        <v>15.680000000000001</v>
      </c>
      <c r="CW149">
        <f t="shared" si="138"/>
        <v>0</v>
      </c>
      <c r="CX149">
        <f t="shared" si="139"/>
        <v>0</v>
      </c>
      <c r="CY149">
        <f t="shared" si="140"/>
        <v>410649.47699999996</v>
      </c>
      <c r="CZ149">
        <f t="shared" si="141"/>
        <v>58664.210999999996</v>
      </c>
      <c r="DC149" t="s">
        <v>3</v>
      </c>
      <c r="DD149" t="s">
        <v>181</v>
      </c>
      <c r="DE149" t="s">
        <v>181</v>
      </c>
      <c r="DF149" t="s">
        <v>181</v>
      </c>
      <c r="DG149" t="s">
        <v>181</v>
      </c>
      <c r="DH149" t="s">
        <v>3</v>
      </c>
      <c r="DI149" t="s">
        <v>181</v>
      </c>
      <c r="DJ149" t="s">
        <v>181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1007</v>
      </c>
      <c r="DV149" t="s">
        <v>39</v>
      </c>
      <c r="DW149" t="s">
        <v>39</v>
      </c>
      <c r="DX149">
        <v>1</v>
      </c>
      <c r="DZ149" t="s">
        <v>3</v>
      </c>
      <c r="EA149" t="s">
        <v>3</v>
      </c>
      <c r="EB149" t="s">
        <v>3</v>
      </c>
      <c r="EC149" t="s">
        <v>3</v>
      </c>
      <c r="EE149">
        <v>80196140</v>
      </c>
      <c r="EF149">
        <v>1</v>
      </c>
      <c r="EG149" t="s">
        <v>23</v>
      </c>
      <c r="EH149">
        <v>0</v>
      </c>
      <c r="EI149" t="s">
        <v>3</v>
      </c>
      <c r="EJ149">
        <v>4</v>
      </c>
      <c r="EK149">
        <v>0</v>
      </c>
      <c r="EL149" t="s">
        <v>24</v>
      </c>
      <c r="EM149" t="s">
        <v>25</v>
      </c>
      <c r="EO149" t="s">
        <v>3</v>
      </c>
      <c r="EQ149">
        <v>0</v>
      </c>
      <c r="ER149">
        <v>1136.47</v>
      </c>
      <c r="ES149">
        <v>54.81</v>
      </c>
      <c r="ET149">
        <v>899.27</v>
      </c>
      <c r="EU149">
        <v>310.45999999999998</v>
      </c>
      <c r="EV149">
        <v>182.39</v>
      </c>
      <c r="EW149">
        <v>0.56000000000000005</v>
      </c>
      <c r="EX149">
        <v>0</v>
      </c>
      <c r="EY149">
        <v>0</v>
      </c>
      <c r="FQ149">
        <v>0</v>
      </c>
      <c r="FR149">
        <v>0</v>
      </c>
      <c r="FS149">
        <v>0</v>
      </c>
      <c r="FX149">
        <v>70</v>
      </c>
      <c r="FY149">
        <v>10</v>
      </c>
      <c r="GA149" t="s">
        <v>3</v>
      </c>
      <c r="GD149">
        <v>0</v>
      </c>
      <c r="GF149">
        <v>1162195431</v>
      </c>
      <c r="GG149">
        <v>2</v>
      </c>
      <c r="GH149">
        <v>1</v>
      </c>
      <c r="GI149">
        <v>-2</v>
      </c>
      <c r="GJ149">
        <v>0</v>
      </c>
      <c r="GK149">
        <f>ROUND(R149*(R12)/100,2)</f>
        <v>1078453.99</v>
      </c>
      <c r="GL149">
        <f t="shared" si="142"/>
        <v>0</v>
      </c>
      <c r="GM149">
        <f t="shared" si="143"/>
        <v>5203127.97</v>
      </c>
      <c r="GN149">
        <f t="shared" si="144"/>
        <v>0</v>
      </c>
      <c r="GO149">
        <f t="shared" si="145"/>
        <v>0</v>
      </c>
      <c r="GP149">
        <f t="shared" si="146"/>
        <v>5203127.97</v>
      </c>
      <c r="GR149">
        <v>0</v>
      </c>
      <c r="GS149">
        <v>3</v>
      </c>
      <c r="GT149">
        <v>0</v>
      </c>
      <c r="GU149" t="s">
        <v>3</v>
      </c>
      <c r="GV149">
        <f t="shared" si="147"/>
        <v>0</v>
      </c>
      <c r="GW149">
        <v>1</v>
      </c>
      <c r="GX149">
        <f t="shared" si="148"/>
        <v>0</v>
      </c>
      <c r="HA149">
        <v>0</v>
      </c>
      <c r="HB149">
        <v>0</v>
      </c>
      <c r="HC149">
        <f t="shared" si="149"/>
        <v>0</v>
      </c>
      <c r="HE149" t="s">
        <v>3</v>
      </c>
      <c r="HF149" t="s">
        <v>3</v>
      </c>
      <c r="HM149" t="s">
        <v>3</v>
      </c>
      <c r="HN149" t="s">
        <v>3</v>
      </c>
      <c r="HO149" t="s">
        <v>3</v>
      </c>
      <c r="HP149" t="s">
        <v>3</v>
      </c>
      <c r="HQ149" t="s">
        <v>3</v>
      </c>
      <c r="HS149">
        <v>0</v>
      </c>
      <c r="IK149">
        <v>0</v>
      </c>
    </row>
    <row r="150" spans="1:245" x14ac:dyDescent="0.25">
      <c r="A150">
        <v>18</v>
      </c>
      <c r="B150">
        <v>1</v>
      </c>
      <c r="C150">
        <v>74</v>
      </c>
      <c r="E150" t="s">
        <v>244</v>
      </c>
      <c r="F150" t="s">
        <v>37</v>
      </c>
      <c r="G150" t="s">
        <v>38</v>
      </c>
      <c r="H150" t="s">
        <v>39</v>
      </c>
      <c r="I150">
        <f>I149*J150</f>
        <v>-3216.4160000000002</v>
      </c>
      <c r="J150">
        <v>-28</v>
      </c>
      <c r="K150">
        <v>-1</v>
      </c>
      <c r="O150">
        <f t="shared" si="116"/>
        <v>-176291.76</v>
      </c>
      <c r="P150">
        <f t="shared" si="117"/>
        <v>-176291.76</v>
      </c>
      <c r="Q150">
        <f t="shared" si="118"/>
        <v>0</v>
      </c>
      <c r="R150">
        <f t="shared" si="119"/>
        <v>0</v>
      </c>
      <c r="S150">
        <f t="shared" si="120"/>
        <v>0</v>
      </c>
      <c r="T150">
        <f t="shared" si="121"/>
        <v>0</v>
      </c>
      <c r="U150">
        <f t="shared" si="122"/>
        <v>0</v>
      </c>
      <c r="V150">
        <f t="shared" si="123"/>
        <v>0</v>
      </c>
      <c r="W150">
        <f t="shared" si="124"/>
        <v>0</v>
      </c>
      <c r="X150">
        <f t="shared" si="125"/>
        <v>0</v>
      </c>
      <c r="Y150">
        <f t="shared" si="126"/>
        <v>0</v>
      </c>
      <c r="AA150">
        <v>80889732</v>
      </c>
      <c r="AB150">
        <f t="shared" si="127"/>
        <v>54.81</v>
      </c>
      <c r="AC150">
        <f>ROUND((ES150),6)</f>
        <v>54.81</v>
      </c>
      <c r="AD150">
        <f>ROUND((((ET150)-(EU150))+AE150),6)</f>
        <v>0</v>
      </c>
      <c r="AE150">
        <f>ROUND((EU150),6)</f>
        <v>0</v>
      </c>
      <c r="AF150">
        <f>ROUND((EV150),6)</f>
        <v>0</v>
      </c>
      <c r="AG150">
        <f t="shared" si="129"/>
        <v>0</v>
      </c>
      <c r="AH150">
        <f>(EW150)</f>
        <v>0</v>
      </c>
      <c r="AI150">
        <f>(EX150)</f>
        <v>0</v>
      </c>
      <c r="AJ150">
        <f t="shared" si="131"/>
        <v>0</v>
      </c>
      <c r="AK150">
        <v>54.81</v>
      </c>
      <c r="AL150">
        <v>54.81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70</v>
      </c>
      <c r="AU150">
        <v>10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3</v>
      </c>
      <c r="BI150">
        <v>4</v>
      </c>
      <c r="BJ150" t="s">
        <v>40</v>
      </c>
      <c r="BM150">
        <v>0</v>
      </c>
      <c r="BN150">
        <v>0</v>
      </c>
      <c r="BO150" t="s">
        <v>3</v>
      </c>
      <c r="BP150">
        <v>0</v>
      </c>
      <c r="BQ150">
        <v>1</v>
      </c>
      <c r="BR150">
        <v>1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70</v>
      </c>
      <c r="CA150">
        <v>10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132"/>
        <v>-176291.76</v>
      </c>
      <c r="CQ150">
        <f t="shared" si="133"/>
        <v>54.81</v>
      </c>
      <c r="CR150">
        <f>((((ET150)*BB150-(EU150)*BS150)+AE150*BS150)*AV150)</f>
        <v>0</v>
      </c>
      <c r="CS150">
        <f t="shared" si="134"/>
        <v>0</v>
      </c>
      <c r="CT150">
        <f t="shared" si="135"/>
        <v>0</v>
      </c>
      <c r="CU150">
        <f t="shared" si="136"/>
        <v>0</v>
      </c>
      <c r="CV150">
        <f t="shared" si="137"/>
        <v>0</v>
      </c>
      <c r="CW150">
        <f t="shared" si="138"/>
        <v>0</v>
      </c>
      <c r="CX150">
        <f t="shared" si="139"/>
        <v>0</v>
      </c>
      <c r="CY150">
        <f t="shared" si="140"/>
        <v>0</v>
      </c>
      <c r="CZ150">
        <f t="shared" si="141"/>
        <v>0</v>
      </c>
      <c r="DC150" t="s">
        <v>3</v>
      </c>
      <c r="DD150" t="s">
        <v>3</v>
      </c>
      <c r="DE150" t="s">
        <v>3</v>
      </c>
      <c r="DF150" t="s">
        <v>3</v>
      </c>
      <c r="DG150" t="s">
        <v>3</v>
      </c>
      <c r="DH150" t="s">
        <v>3</v>
      </c>
      <c r="DI150" t="s">
        <v>3</v>
      </c>
      <c r="DJ150" t="s">
        <v>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1007</v>
      </c>
      <c r="DV150" t="s">
        <v>39</v>
      </c>
      <c r="DW150" t="s">
        <v>39</v>
      </c>
      <c r="DX150">
        <v>1</v>
      </c>
      <c r="DZ150" t="s">
        <v>3</v>
      </c>
      <c r="EA150" t="s">
        <v>3</v>
      </c>
      <c r="EB150" t="s">
        <v>3</v>
      </c>
      <c r="EC150" t="s">
        <v>3</v>
      </c>
      <c r="EE150">
        <v>80196140</v>
      </c>
      <c r="EF150">
        <v>1</v>
      </c>
      <c r="EG150" t="s">
        <v>23</v>
      </c>
      <c r="EH150">
        <v>0</v>
      </c>
      <c r="EI150" t="s">
        <v>3</v>
      </c>
      <c r="EJ150">
        <v>4</v>
      </c>
      <c r="EK150">
        <v>0</v>
      </c>
      <c r="EL150" t="s">
        <v>24</v>
      </c>
      <c r="EM150" t="s">
        <v>25</v>
      </c>
      <c r="EO150" t="s">
        <v>3</v>
      </c>
      <c r="EQ150">
        <v>32768</v>
      </c>
      <c r="ER150">
        <v>54.81</v>
      </c>
      <c r="ES150">
        <v>54.81</v>
      </c>
      <c r="ET150">
        <v>0</v>
      </c>
      <c r="EU150">
        <v>0</v>
      </c>
      <c r="EV150">
        <v>0</v>
      </c>
      <c r="EW150">
        <v>0</v>
      </c>
      <c r="EX150">
        <v>0</v>
      </c>
      <c r="FQ150">
        <v>0</v>
      </c>
      <c r="FR150">
        <v>0</v>
      </c>
      <c r="FS150">
        <v>0</v>
      </c>
      <c r="FX150">
        <v>70</v>
      </c>
      <c r="FY150">
        <v>10</v>
      </c>
      <c r="GA150" t="s">
        <v>3</v>
      </c>
      <c r="GD150">
        <v>0</v>
      </c>
      <c r="GF150">
        <v>2112060389</v>
      </c>
      <c r="GG150">
        <v>2</v>
      </c>
      <c r="GH150">
        <v>1</v>
      </c>
      <c r="GI150">
        <v>-2</v>
      </c>
      <c r="GJ150">
        <v>0</v>
      </c>
      <c r="GK150">
        <f>ROUND(R150*(R12)/100,2)</f>
        <v>0</v>
      </c>
      <c r="GL150">
        <f t="shared" si="142"/>
        <v>0</v>
      </c>
      <c r="GM150">
        <f t="shared" si="143"/>
        <v>-176291.76</v>
      </c>
      <c r="GN150">
        <f t="shared" si="144"/>
        <v>0</v>
      </c>
      <c r="GO150">
        <f t="shared" si="145"/>
        <v>0</v>
      </c>
      <c r="GP150">
        <f t="shared" si="146"/>
        <v>-176291.76</v>
      </c>
      <c r="GR150">
        <v>0</v>
      </c>
      <c r="GS150">
        <v>3</v>
      </c>
      <c r="GT150">
        <v>0</v>
      </c>
      <c r="GU150" t="s">
        <v>3</v>
      </c>
      <c r="GV150">
        <f t="shared" si="147"/>
        <v>0</v>
      </c>
      <c r="GW150">
        <v>1</v>
      </c>
      <c r="GX150">
        <f t="shared" si="148"/>
        <v>0</v>
      </c>
      <c r="HA150">
        <v>0</v>
      </c>
      <c r="HB150">
        <v>0</v>
      </c>
      <c r="HC150">
        <f t="shared" si="149"/>
        <v>0</v>
      </c>
      <c r="HE150" t="s">
        <v>3</v>
      </c>
      <c r="HF150" t="s">
        <v>3</v>
      </c>
      <c r="HM150" t="s">
        <v>181</v>
      </c>
      <c r="HN150" t="s">
        <v>3</v>
      </c>
      <c r="HO150" t="s">
        <v>3</v>
      </c>
      <c r="HP150" t="s">
        <v>3</v>
      </c>
      <c r="HQ150" t="s">
        <v>3</v>
      </c>
      <c r="HS150">
        <v>0</v>
      </c>
      <c r="IK150">
        <v>0</v>
      </c>
    </row>
    <row r="151" spans="1:245" x14ac:dyDescent="0.25">
      <c r="A151">
        <v>17</v>
      </c>
      <c r="B151">
        <v>1</v>
      </c>
      <c r="C151">
        <f>ROW(SmtRes!A75)</f>
        <v>75</v>
      </c>
      <c r="D151">
        <f>ROW(EtalonRes!A75)</f>
        <v>75</v>
      </c>
      <c r="E151" t="s">
        <v>245</v>
      </c>
      <c r="F151" t="s">
        <v>246</v>
      </c>
      <c r="G151" t="s">
        <v>247</v>
      </c>
      <c r="H151" t="s">
        <v>29</v>
      </c>
      <c r="I151">
        <f>ROUND(22974.3/100,9)</f>
        <v>229.74299999999999</v>
      </c>
      <c r="J151">
        <v>0</v>
      </c>
      <c r="K151">
        <f>ROUND(22974.3/100,9)</f>
        <v>229.74299999999999</v>
      </c>
      <c r="O151">
        <f t="shared" si="116"/>
        <v>2744225</v>
      </c>
      <c r="P151">
        <f t="shared" si="117"/>
        <v>0</v>
      </c>
      <c r="Q151">
        <f t="shared" si="118"/>
        <v>0</v>
      </c>
      <c r="R151">
        <f t="shared" si="119"/>
        <v>0</v>
      </c>
      <c r="S151">
        <f t="shared" si="120"/>
        <v>2744225</v>
      </c>
      <c r="T151">
        <f t="shared" si="121"/>
        <v>0</v>
      </c>
      <c r="U151">
        <f t="shared" si="122"/>
        <v>6056.0254799999993</v>
      </c>
      <c r="V151">
        <f t="shared" si="123"/>
        <v>0</v>
      </c>
      <c r="W151">
        <f t="shared" si="124"/>
        <v>0</v>
      </c>
      <c r="X151">
        <f t="shared" si="125"/>
        <v>1920957.5</v>
      </c>
      <c r="Y151">
        <f t="shared" si="126"/>
        <v>274422.5</v>
      </c>
      <c r="AA151">
        <v>80889732</v>
      </c>
      <c r="AB151">
        <f t="shared" si="127"/>
        <v>11944.76</v>
      </c>
      <c r="AC151">
        <f>ROUND(((ES151*4)),6)</f>
        <v>0</v>
      </c>
      <c r="AD151">
        <f>ROUND(((((ET151*4))-((EU151*4)))+AE151),6)</f>
        <v>0</v>
      </c>
      <c r="AE151">
        <f>ROUND(((EU151*4)),6)</f>
        <v>0</v>
      </c>
      <c r="AF151">
        <f>ROUND(((EV151*4)),6)</f>
        <v>11944.76</v>
      </c>
      <c r="AG151">
        <f t="shared" si="129"/>
        <v>0</v>
      </c>
      <c r="AH151">
        <f>((EW151*4))</f>
        <v>26.36</v>
      </c>
      <c r="AI151">
        <f>((EX151*4))</f>
        <v>0</v>
      </c>
      <c r="AJ151">
        <f t="shared" si="131"/>
        <v>0</v>
      </c>
      <c r="AK151">
        <v>2986.19</v>
      </c>
      <c r="AL151">
        <v>0</v>
      </c>
      <c r="AM151">
        <v>0</v>
      </c>
      <c r="AN151">
        <v>0</v>
      </c>
      <c r="AO151">
        <v>2986.19</v>
      </c>
      <c r="AP151">
        <v>0</v>
      </c>
      <c r="AQ151">
        <v>6.59</v>
      </c>
      <c r="AR151">
        <v>0</v>
      </c>
      <c r="AS151">
        <v>0</v>
      </c>
      <c r="AT151">
        <v>70</v>
      </c>
      <c r="AU151">
        <v>10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1</v>
      </c>
      <c r="BD151" t="s">
        <v>3</v>
      </c>
      <c r="BE151" t="s">
        <v>3</v>
      </c>
      <c r="BF151" t="s">
        <v>3</v>
      </c>
      <c r="BG151" t="s">
        <v>3</v>
      </c>
      <c r="BH151">
        <v>0</v>
      </c>
      <c r="BI151">
        <v>4</v>
      </c>
      <c r="BJ151" t="s">
        <v>248</v>
      </c>
      <c r="BM151">
        <v>0</v>
      </c>
      <c r="BN151">
        <v>0</v>
      </c>
      <c r="BO151" t="s">
        <v>3</v>
      </c>
      <c r="BP151">
        <v>0</v>
      </c>
      <c r="BQ151">
        <v>1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70</v>
      </c>
      <c r="CA151">
        <v>10</v>
      </c>
      <c r="CB151" t="s">
        <v>3</v>
      </c>
      <c r="CE151">
        <v>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 t="shared" si="132"/>
        <v>2744225</v>
      </c>
      <c r="CQ151">
        <f t="shared" si="133"/>
        <v>0</v>
      </c>
      <c r="CR151">
        <f>(((((ET151*4))*BB151-((EU151*4))*BS151)+AE151*BS151)*AV151)</f>
        <v>0</v>
      </c>
      <c r="CS151">
        <f t="shared" si="134"/>
        <v>0</v>
      </c>
      <c r="CT151">
        <f t="shared" si="135"/>
        <v>11944.76</v>
      </c>
      <c r="CU151">
        <f t="shared" si="136"/>
        <v>0</v>
      </c>
      <c r="CV151">
        <f t="shared" si="137"/>
        <v>26.36</v>
      </c>
      <c r="CW151">
        <f t="shared" si="138"/>
        <v>0</v>
      </c>
      <c r="CX151">
        <f t="shared" si="139"/>
        <v>0</v>
      </c>
      <c r="CY151">
        <f t="shared" si="140"/>
        <v>1920957.5</v>
      </c>
      <c r="CZ151">
        <f t="shared" si="141"/>
        <v>274422.5</v>
      </c>
      <c r="DC151" t="s">
        <v>3</v>
      </c>
      <c r="DD151" t="s">
        <v>249</v>
      </c>
      <c r="DE151" t="s">
        <v>249</v>
      </c>
      <c r="DF151" t="s">
        <v>249</v>
      </c>
      <c r="DG151" t="s">
        <v>249</v>
      </c>
      <c r="DH151" t="s">
        <v>3</v>
      </c>
      <c r="DI151" t="s">
        <v>249</v>
      </c>
      <c r="DJ151" t="s">
        <v>249</v>
      </c>
      <c r="DK151" t="s">
        <v>3</v>
      </c>
      <c r="DL151" t="s">
        <v>3</v>
      </c>
      <c r="DM151" t="s">
        <v>3</v>
      </c>
      <c r="DN151">
        <v>0</v>
      </c>
      <c r="DO151">
        <v>0</v>
      </c>
      <c r="DP151">
        <v>1</v>
      </c>
      <c r="DQ151">
        <v>1</v>
      </c>
      <c r="DU151">
        <v>1005</v>
      </c>
      <c r="DV151" t="s">
        <v>29</v>
      </c>
      <c r="DW151" t="s">
        <v>29</v>
      </c>
      <c r="DX151">
        <v>100</v>
      </c>
      <c r="DZ151" t="s">
        <v>3</v>
      </c>
      <c r="EA151" t="s">
        <v>3</v>
      </c>
      <c r="EB151" t="s">
        <v>3</v>
      </c>
      <c r="EC151" t="s">
        <v>3</v>
      </c>
      <c r="EE151">
        <v>80196140</v>
      </c>
      <c r="EF151">
        <v>1</v>
      </c>
      <c r="EG151" t="s">
        <v>23</v>
      </c>
      <c r="EH151">
        <v>0</v>
      </c>
      <c r="EI151" t="s">
        <v>3</v>
      </c>
      <c r="EJ151">
        <v>4</v>
      </c>
      <c r="EK151">
        <v>0</v>
      </c>
      <c r="EL151" t="s">
        <v>24</v>
      </c>
      <c r="EM151" t="s">
        <v>25</v>
      </c>
      <c r="EO151" t="s">
        <v>3</v>
      </c>
      <c r="EQ151">
        <v>0</v>
      </c>
      <c r="ER151">
        <v>2986.19</v>
      </c>
      <c r="ES151">
        <v>0</v>
      </c>
      <c r="ET151">
        <v>0</v>
      </c>
      <c r="EU151">
        <v>0</v>
      </c>
      <c r="EV151">
        <v>2986.19</v>
      </c>
      <c r="EW151">
        <v>6.59</v>
      </c>
      <c r="EX151">
        <v>0</v>
      </c>
      <c r="EY151">
        <v>0</v>
      </c>
      <c r="FQ151">
        <v>0</v>
      </c>
      <c r="FR151">
        <v>0</v>
      </c>
      <c r="FS151">
        <v>0</v>
      </c>
      <c r="FX151">
        <v>70</v>
      </c>
      <c r="FY151">
        <v>10</v>
      </c>
      <c r="GA151" t="s">
        <v>3</v>
      </c>
      <c r="GD151">
        <v>0</v>
      </c>
      <c r="GF151">
        <v>-831351432</v>
      </c>
      <c r="GG151">
        <v>2</v>
      </c>
      <c r="GH151">
        <v>1</v>
      </c>
      <c r="GI151">
        <v>-2</v>
      </c>
      <c r="GJ151">
        <v>0</v>
      </c>
      <c r="GK151">
        <f>ROUND(R151*(R12)/100,2)</f>
        <v>0</v>
      </c>
      <c r="GL151">
        <f t="shared" si="142"/>
        <v>0</v>
      </c>
      <c r="GM151">
        <f t="shared" si="143"/>
        <v>4939605</v>
      </c>
      <c r="GN151">
        <f t="shared" si="144"/>
        <v>0</v>
      </c>
      <c r="GO151">
        <f t="shared" si="145"/>
        <v>0</v>
      </c>
      <c r="GP151">
        <f t="shared" si="146"/>
        <v>4939605</v>
      </c>
      <c r="GR151">
        <v>0</v>
      </c>
      <c r="GS151">
        <v>3</v>
      </c>
      <c r="GT151">
        <v>0</v>
      </c>
      <c r="GU151" t="s">
        <v>3</v>
      </c>
      <c r="GV151">
        <f t="shared" si="147"/>
        <v>0</v>
      </c>
      <c r="GW151">
        <v>1</v>
      </c>
      <c r="GX151">
        <f t="shared" si="148"/>
        <v>0</v>
      </c>
      <c r="HA151">
        <v>0</v>
      </c>
      <c r="HB151">
        <v>0</v>
      </c>
      <c r="HC151">
        <f t="shared" si="149"/>
        <v>0</v>
      </c>
      <c r="HE151" t="s">
        <v>3</v>
      </c>
      <c r="HF151" t="s">
        <v>3</v>
      </c>
      <c r="HM151" t="s">
        <v>3</v>
      </c>
      <c r="HN151" t="s">
        <v>3</v>
      </c>
      <c r="HO151" t="s">
        <v>3</v>
      </c>
      <c r="HP151" t="s">
        <v>3</v>
      </c>
      <c r="HQ151" t="s">
        <v>3</v>
      </c>
      <c r="HS151">
        <v>0</v>
      </c>
      <c r="IK151">
        <v>0</v>
      </c>
    </row>
    <row r="152" spans="1:245" x14ac:dyDescent="0.25">
      <c r="A152">
        <v>17</v>
      </c>
      <c r="B152">
        <v>1</v>
      </c>
      <c r="C152">
        <f>ROW(SmtRes!A76)</f>
        <v>76</v>
      </c>
      <c r="D152">
        <f>ROW(EtalonRes!A76)</f>
        <v>76</v>
      </c>
      <c r="E152" t="s">
        <v>250</v>
      </c>
      <c r="F152" t="s">
        <v>251</v>
      </c>
      <c r="G152" t="s">
        <v>252</v>
      </c>
      <c r="H152" t="s">
        <v>29</v>
      </c>
      <c r="I152">
        <f>ROUND(22974.3/100,9)</f>
        <v>229.74299999999999</v>
      </c>
      <c r="J152">
        <v>0</v>
      </c>
      <c r="K152">
        <f>ROUND(22974.3/100,9)</f>
        <v>229.74299999999999</v>
      </c>
      <c r="O152">
        <f t="shared" si="116"/>
        <v>496058.79</v>
      </c>
      <c r="P152">
        <f t="shared" si="117"/>
        <v>0</v>
      </c>
      <c r="Q152">
        <f t="shared" si="118"/>
        <v>0</v>
      </c>
      <c r="R152">
        <f t="shared" si="119"/>
        <v>0</v>
      </c>
      <c r="S152">
        <f t="shared" si="120"/>
        <v>496058.79</v>
      </c>
      <c r="T152">
        <f t="shared" si="121"/>
        <v>0</v>
      </c>
      <c r="U152">
        <f t="shared" si="122"/>
        <v>978.70517999999993</v>
      </c>
      <c r="V152">
        <f t="shared" si="123"/>
        <v>0</v>
      </c>
      <c r="W152">
        <f t="shared" si="124"/>
        <v>0</v>
      </c>
      <c r="X152">
        <f t="shared" si="125"/>
        <v>347241.15</v>
      </c>
      <c r="Y152">
        <f t="shared" si="126"/>
        <v>49605.88</v>
      </c>
      <c r="AA152">
        <v>80889732</v>
      </c>
      <c r="AB152">
        <f t="shared" si="127"/>
        <v>2159.19</v>
      </c>
      <c r="AC152">
        <f>ROUND(((ES152*3)),6)</f>
        <v>0</v>
      </c>
      <c r="AD152">
        <f>ROUND(((((ET152*3))-((EU152*3)))+AE152),6)</f>
        <v>0</v>
      </c>
      <c r="AE152">
        <f>ROUND(((EU152*3)),6)</f>
        <v>0</v>
      </c>
      <c r="AF152">
        <f>ROUND(((EV152*3)),6)</f>
        <v>2159.19</v>
      </c>
      <c r="AG152">
        <f t="shared" si="129"/>
        <v>0</v>
      </c>
      <c r="AH152">
        <f>((EW152*3))</f>
        <v>4.26</v>
      </c>
      <c r="AI152">
        <f>((EX152*3))</f>
        <v>0</v>
      </c>
      <c r="AJ152">
        <f t="shared" si="131"/>
        <v>0</v>
      </c>
      <c r="AK152">
        <v>719.73</v>
      </c>
      <c r="AL152">
        <v>0</v>
      </c>
      <c r="AM152">
        <v>0</v>
      </c>
      <c r="AN152">
        <v>0</v>
      </c>
      <c r="AO152">
        <v>719.73</v>
      </c>
      <c r="AP152">
        <v>0</v>
      </c>
      <c r="AQ152">
        <v>1.42</v>
      </c>
      <c r="AR152">
        <v>0</v>
      </c>
      <c r="AS152">
        <v>0</v>
      </c>
      <c r="AT152">
        <v>70</v>
      </c>
      <c r="AU152">
        <v>10</v>
      </c>
      <c r="AV152">
        <v>1</v>
      </c>
      <c r="AW152">
        <v>1</v>
      </c>
      <c r="AZ152">
        <v>1</v>
      </c>
      <c r="BA152">
        <v>1</v>
      </c>
      <c r="BB152">
        <v>1</v>
      </c>
      <c r="BC152">
        <v>1</v>
      </c>
      <c r="BD152" t="s">
        <v>3</v>
      </c>
      <c r="BE152" t="s">
        <v>3</v>
      </c>
      <c r="BF152" t="s">
        <v>3</v>
      </c>
      <c r="BG152" t="s">
        <v>3</v>
      </c>
      <c r="BH152">
        <v>0</v>
      </c>
      <c r="BI152">
        <v>4</v>
      </c>
      <c r="BJ152" t="s">
        <v>253</v>
      </c>
      <c r="BM152">
        <v>0</v>
      </c>
      <c r="BN152">
        <v>0</v>
      </c>
      <c r="BO152" t="s">
        <v>3</v>
      </c>
      <c r="BP152">
        <v>0</v>
      </c>
      <c r="BQ152">
        <v>1</v>
      </c>
      <c r="BR152">
        <v>0</v>
      </c>
      <c r="BS152">
        <v>1</v>
      </c>
      <c r="BT152">
        <v>1</v>
      </c>
      <c r="BU152">
        <v>1</v>
      </c>
      <c r="BV152">
        <v>1</v>
      </c>
      <c r="BW152">
        <v>1</v>
      </c>
      <c r="BX152">
        <v>1</v>
      </c>
      <c r="BY152" t="s">
        <v>3</v>
      </c>
      <c r="BZ152">
        <v>70</v>
      </c>
      <c r="CA152">
        <v>10</v>
      </c>
      <c r="CB152" t="s">
        <v>3</v>
      </c>
      <c r="CE152">
        <v>0</v>
      </c>
      <c r="CF152">
        <v>0</v>
      </c>
      <c r="CG152">
        <v>0</v>
      </c>
      <c r="CM152">
        <v>0</v>
      </c>
      <c r="CN152" t="s">
        <v>3</v>
      </c>
      <c r="CO152">
        <v>0</v>
      </c>
      <c r="CP152">
        <f t="shared" si="132"/>
        <v>496058.79</v>
      </c>
      <c r="CQ152">
        <f t="shared" si="133"/>
        <v>0</v>
      </c>
      <c r="CR152">
        <f>(((((ET152*3))*BB152-((EU152*3))*BS152)+AE152*BS152)*AV152)</f>
        <v>0</v>
      </c>
      <c r="CS152">
        <f t="shared" si="134"/>
        <v>0</v>
      </c>
      <c r="CT152">
        <f t="shared" si="135"/>
        <v>2159.19</v>
      </c>
      <c r="CU152">
        <f t="shared" si="136"/>
        <v>0</v>
      </c>
      <c r="CV152">
        <f t="shared" si="137"/>
        <v>4.26</v>
      </c>
      <c r="CW152">
        <f t="shared" si="138"/>
        <v>0</v>
      </c>
      <c r="CX152">
        <f t="shared" si="139"/>
        <v>0</v>
      </c>
      <c r="CY152">
        <f t="shared" si="140"/>
        <v>347241.15299999999</v>
      </c>
      <c r="CZ152">
        <f t="shared" si="141"/>
        <v>49605.878999999994</v>
      </c>
      <c r="DC152" t="s">
        <v>3</v>
      </c>
      <c r="DD152" t="s">
        <v>254</v>
      </c>
      <c r="DE152" t="s">
        <v>254</v>
      </c>
      <c r="DF152" t="s">
        <v>254</v>
      </c>
      <c r="DG152" t="s">
        <v>254</v>
      </c>
      <c r="DH152" t="s">
        <v>3</v>
      </c>
      <c r="DI152" t="s">
        <v>254</v>
      </c>
      <c r="DJ152" t="s">
        <v>254</v>
      </c>
      <c r="DK152" t="s">
        <v>3</v>
      </c>
      <c r="DL152" t="s">
        <v>3</v>
      </c>
      <c r="DM152" t="s">
        <v>3</v>
      </c>
      <c r="DN152">
        <v>0</v>
      </c>
      <c r="DO152">
        <v>0</v>
      </c>
      <c r="DP152">
        <v>1</v>
      </c>
      <c r="DQ152">
        <v>1</v>
      </c>
      <c r="DU152">
        <v>1005</v>
      </c>
      <c r="DV152" t="s">
        <v>29</v>
      </c>
      <c r="DW152" t="s">
        <v>29</v>
      </c>
      <c r="DX152">
        <v>100</v>
      </c>
      <c r="DZ152" t="s">
        <v>3</v>
      </c>
      <c r="EA152" t="s">
        <v>3</v>
      </c>
      <c r="EB152" t="s">
        <v>3</v>
      </c>
      <c r="EC152" t="s">
        <v>3</v>
      </c>
      <c r="EE152">
        <v>80196140</v>
      </c>
      <c r="EF152">
        <v>1</v>
      </c>
      <c r="EG152" t="s">
        <v>23</v>
      </c>
      <c r="EH152">
        <v>0</v>
      </c>
      <c r="EI152" t="s">
        <v>3</v>
      </c>
      <c r="EJ152">
        <v>4</v>
      </c>
      <c r="EK152">
        <v>0</v>
      </c>
      <c r="EL152" t="s">
        <v>24</v>
      </c>
      <c r="EM152" t="s">
        <v>25</v>
      </c>
      <c r="EO152" t="s">
        <v>3</v>
      </c>
      <c r="EQ152">
        <v>0</v>
      </c>
      <c r="ER152">
        <v>719.73</v>
      </c>
      <c r="ES152">
        <v>0</v>
      </c>
      <c r="ET152">
        <v>0</v>
      </c>
      <c r="EU152">
        <v>0</v>
      </c>
      <c r="EV152">
        <v>719.73</v>
      </c>
      <c r="EW152">
        <v>1.42</v>
      </c>
      <c r="EX152">
        <v>0</v>
      </c>
      <c r="EY152">
        <v>0</v>
      </c>
      <c r="FQ152">
        <v>0</v>
      </c>
      <c r="FR152">
        <v>0</v>
      </c>
      <c r="FS152">
        <v>0</v>
      </c>
      <c r="FX152">
        <v>70</v>
      </c>
      <c r="FY152">
        <v>10</v>
      </c>
      <c r="GA152" t="s">
        <v>3</v>
      </c>
      <c r="GD152">
        <v>0</v>
      </c>
      <c r="GF152">
        <v>242064973</v>
      </c>
      <c r="GG152">
        <v>2</v>
      </c>
      <c r="GH152">
        <v>1</v>
      </c>
      <c r="GI152">
        <v>-2</v>
      </c>
      <c r="GJ152">
        <v>0</v>
      </c>
      <c r="GK152">
        <f>ROUND(R152*(R12)/100,2)</f>
        <v>0</v>
      </c>
      <c r="GL152">
        <f t="shared" si="142"/>
        <v>0</v>
      </c>
      <c r="GM152">
        <f t="shared" si="143"/>
        <v>892905.82</v>
      </c>
      <c r="GN152">
        <f t="shared" si="144"/>
        <v>0</v>
      </c>
      <c r="GO152">
        <f t="shared" si="145"/>
        <v>0</v>
      </c>
      <c r="GP152">
        <f t="shared" si="146"/>
        <v>892905.82</v>
      </c>
      <c r="GR152">
        <v>0</v>
      </c>
      <c r="GS152">
        <v>3</v>
      </c>
      <c r="GT152">
        <v>0</v>
      </c>
      <c r="GU152" t="s">
        <v>3</v>
      </c>
      <c r="GV152">
        <f t="shared" si="147"/>
        <v>0</v>
      </c>
      <c r="GW152">
        <v>1</v>
      </c>
      <c r="GX152">
        <f t="shared" si="148"/>
        <v>0</v>
      </c>
      <c r="HA152">
        <v>0</v>
      </c>
      <c r="HB152">
        <v>0</v>
      </c>
      <c r="HC152">
        <f t="shared" si="149"/>
        <v>0</v>
      </c>
      <c r="HE152" t="s">
        <v>3</v>
      </c>
      <c r="HF152" t="s">
        <v>3</v>
      </c>
      <c r="HM152" t="s">
        <v>3</v>
      </c>
      <c r="HN152" t="s">
        <v>3</v>
      </c>
      <c r="HO152" t="s">
        <v>3</v>
      </c>
      <c r="HP152" t="s">
        <v>3</v>
      </c>
      <c r="HQ152" t="s">
        <v>3</v>
      </c>
      <c r="HS152">
        <v>0</v>
      </c>
      <c r="IK152">
        <v>0</v>
      </c>
    </row>
    <row r="153" spans="1:245" x14ac:dyDescent="0.25">
      <c r="A153">
        <v>17</v>
      </c>
      <c r="B153">
        <v>1</v>
      </c>
      <c r="C153">
        <f>ROW(SmtRes!A80)</f>
        <v>80</v>
      </c>
      <c r="D153">
        <f>ROW(EtalonRes!A80)</f>
        <v>80</v>
      </c>
      <c r="E153" t="s">
        <v>255</v>
      </c>
      <c r="F153" t="s">
        <v>256</v>
      </c>
      <c r="G153" t="s">
        <v>257</v>
      </c>
      <c r="H153" t="s">
        <v>29</v>
      </c>
      <c r="I153">
        <f>ROUND(22974.3/100,9)</f>
        <v>229.74299999999999</v>
      </c>
      <c r="J153">
        <v>0</v>
      </c>
      <c r="K153">
        <f>ROUND(22974.3/100,9)</f>
        <v>229.74299999999999</v>
      </c>
      <c r="O153">
        <f t="shared" si="116"/>
        <v>63781.26</v>
      </c>
      <c r="P153">
        <f t="shared" si="117"/>
        <v>252.72</v>
      </c>
      <c r="Q153">
        <f t="shared" si="118"/>
        <v>9056.4699999999993</v>
      </c>
      <c r="R153">
        <f t="shared" si="119"/>
        <v>18.38</v>
      </c>
      <c r="S153">
        <f t="shared" si="120"/>
        <v>54472.07</v>
      </c>
      <c r="T153">
        <f t="shared" si="121"/>
        <v>0</v>
      </c>
      <c r="U153">
        <f t="shared" si="122"/>
        <v>82.70747999999999</v>
      </c>
      <c r="V153">
        <f t="shared" si="123"/>
        <v>0</v>
      </c>
      <c r="W153">
        <f t="shared" si="124"/>
        <v>0</v>
      </c>
      <c r="X153">
        <f t="shared" si="125"/>
        <v>38130.449999999997</v>
      </c>
      <c r="Y153">
        <f t="shared" si="126"/>
        <v>5447.21</v>
      </c>
      <c r="AA153">
        <v>80889732</v>
      </c>
      <c r="AB153">
        <f t="shared" si="127"/>
        <v>277.62</v>
      </c>
      <c r="AC153">
        <f>ROUND(((ES153*2)),6)</f>
        <v>1.1000000000000001</v>
      </c>
      <c r="AD153">
        <f>ROUND(((((ET153*2))-((EU153*2)))+AE153),6)</f>
        <v>39.42</v>
      </c>
      <c r="AE153">
        <f>ROUND(((EU153*2)),6)</f>
        <v>0.08</v>
      </c>
      <c r="AF153">
        <f>ROUND(((EV153*2)),6)</f>
        <v>237.1</v>
      </c>
      <c r="AG153">
        <f t="shared" si="129"/>
        <v>0</v>
      </c>
      <c r="AH153">
        <f>((EW153*2))</f>
        <v>0.36</v>
      </c>
      <c r="AI153">
        <f>((EX153*2))</f>
        <v>0</v>
      </c>
      <c r="AJ153">
        <f t="shared" si="131"/>
        <v>0</v>
      </c>
      <c r="AK153">
        <v>138.81</v>
      </c>
      <c r="AL153">
        <v>0.55000000000000004</v>
      </c>
      <c r="AM153">
        <v>19.71</v>
      </c>
      <c r="AN153">
        <v>0.04</v>
      </c>
      <c r="AO153">
        <v>118.55</v>
      </c>
      <c r="AP153">
        <v>0</v>
      </c>
      <c r="AQ153">
        <v>0.18</v>
      </c>
      <c r="AR153">
        <v>0</v>
      </c>
      <c r="AS153">
        <v>0</v>
      </c>
      <c r="AT153">
        <v>70</v>
      </c>
      <c r="AU153">
        <v>10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1</v>
      </c>
      <c r="BD153" t="s">
        <v>3</v>
      </c>
      <c r="BE153" t="s">
        <v>3</v>
      </c>
      <c r="BF153" t="s">
        <v>3</v>
      </c>
      <c r="BG153" t="s">
        <v>3</v>
      </c>
      <c r="BH153">
        <v>0</v>
      </c>
      <c r="BI153">
        <v>4</v>
      </c>
      <c r="BJ153" t="s">
        <v>258</v>
      </c>
      <c r="BM153">
        <v>0</v>
      </c>
      <c r="BN153">
        <v>0</v>
      </c>
      <c r="BO153" t="s">
        <v>3</v>
      </c>
      <c r="BP153">
        <v>0</v>
      </c>
      <c r="BQ153">
        <v>1</v>
      </c>
      <c r="BR153">
        <v>0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3</v>
      </c>
      <c r="BZ153">
        <v>70</v>
      </c>
      <c r="CA153">
        <v>10</v>
      </c>
      <c r="CB153" t="s">
        <v>3</v>
      </c>
      <c r="CE153">
        <v>0</v>
      </c>
      <c r="CF153">
        <v>0</v>
      </c>
      <c r="CG153">
        <v>0</v>
      </c>
      <c r="CM153">
        <v>0</v>
      </c>
      <c r="CN153" t="s">
        <v>3</v>
      </c>
      <c r="CO153">
        <v>0</v>
      </c>
      <c r="CP153">
        <f t="shared" si="132"/>
        <v>63781.259999999995</v>
      </c>
      <c r="CQ153">
        <f t="shared" si="133"/>
        <v>1.1000000000000001</v>
      </c>
      <c r="CR153">
        <f>(((((ET153*2))*BB153-((EU153*2))*BS153)+AE153*BS153)*AV153)</f>
        <v>39.42</v>
      </c>
      <c r="CS153">
        <f t="shared" si="134"/>
        <v>0.08</v>
      </c>
      <c r="CT153">
        <f t="shared" si="135"/>
        <v>237.1</v>
      </c>
      <c r="CU153">
        <f t="shared" si="136"/>
        <v>0</v>
      </c>
      <c r="CV153">
        <f t="shared" si="137"/>
        <v>0.36</v>
      </c>
      <c r="CW153">
        <f t="shared" si="138"/>
        <v>0</v>
      </c>
      <c r="CX153">
        <f t="shared" si="139"/>
        <v>0</v>
      </c>
      <c r="CY153">
        <f t="shared" si="140"/>
        <v>38130.449000000001</v>
      </c>
      <c r="CZ153">
        <f t="shared" si="141"/>
        <v>5447.2069999999994</v>
      </c>
      <c r="DC153" t="s">
        <v>3</v>
      </c>
      <c r="DD153" t="s">
        <v>259</v>
      </c>
      <c r="DE153" t="s">
        <v>259</v>
      </c>
      <c r="DF153" t="s">
        <v>259</v>
      </c>
      <c r="DG153" t="s">
        <v>259</v>
      </c>
      <c r="DH153" t="s">
        <v>3</v>
      </c>
      <c r="DI153" t="s">
        <v>259</v>
      </c>
      <c r="DJ153" t="s">
        <v>259</v>
      </c>
      <c r="DK153" t="s">
        <v>3</v>
      </c>
      <c r="DL153" t="s">
        <v>3</v>
      </c>
      <c r="DM153" t="s">
        <v>3</v>
      </c>
      <c r="DN153">
        <v>0</v>
      </c>
      <c r="DO153">
        <v>0</v>
      </c>
      <c r="DP153">
        <v>1</v>
      </c>
      <c r="DQ153">
        <v>1</v>
      </c>
      <c r="DU153">
        <v>1005</v>
      </c>
      <c r="DV153" t="s">
        <v>29</v>
      </c>
      <c r="DW153" t="s">
        <v>29</v>
      </c>
      <c r="DX153">
        <v>100</v>
      </c>
      <c r="DZ153" t="s">
        <v>3</v>
      </c>
      <c r="EA153" t="s">
        <v>3</v>
      </c>
      <c r="EB153" t="s">
        <v>3</v>
      </c>
      <c r="EC153" t="s">
        <v>3</v>
      </c>
      <c r="EE153">
        <v>80196140</v>
      </c>
      <c r="EF153">
        <v>1</v>
      </c>
      <c r="EG153" t="s">
        <v>23</v>
      </c>
      <c r="EH153">
        <v>0</v>
      </c>
      <c r="EI153" t="s">
        <v>3</v>
      </c>
      <c r="EJ153">
        <v>4</v>
      </c>
      <c r="EK153">
        <v>0</v>
      </c>
      <c r="EL153" t="s">
        <v>24</v>
      </c>
      <c r="EM153" t="s">
        <v>25</v>
      </c>
      <c r="EO153" t="s">
        <v>3</v>
      </c>
      <c r="EQ153">
        <v>0</v>
      </c>
      <c r="ER153">
        <v>138.81</v>
      </c>
      <c r="ES153">
        <v>0.55000000000000004</v>
      </c>
      <c r="ET153">
        <v>19.71</v>
      </c>
      <c r="EU153">
        <v>0.04</v>
      </c>
      <c r="EV153">
        <v>118.55</v>
      </c>
      <c r="EW153">
        <v>0.18</v>
      </c>
      <c r="EX153">
        <v>0</v>
      </c>
      <c r="EY153">
        <v>0</v>
      </c>
      <c r="FQ153">
        <v>0</v>
      </c>
      <c r="FR153">
        <v>0</v>
      </c>
      <c r="FS153">
        <v>0</v>
      </c>
      <c r="FX153">
        <v>70</v>
      </c>
      <c r="FY153">
        <v>10</v>
      </c>
      <c r="GA153" t="s">
        <v>3</v>
      </c>
      <c r="GD153">
        <v>0</v>
      </c>
      <c r="GF153">
        <v>-1232621699</v>
      </c>
      <c r="GG153">
        <v>2</v>
      </c>
      <c r="GH153">
        <v>1</v>
      </c>
      <c r="GI153">
        <v>-2</v>
      </c>
      <c r="GJ153">
        <v>0</v>
      </c>
      <c r="GK153">
        <f>ROUND(R153*(R12)/100,2)</f>
        <v>19.850000000000001</v>
      </c>
      <c r="GL153">
        <f t="shared" si="142"/>
        <v>0</v>
      </c>
      <c r="GM153">
        <f t="shared" si="143"/>
        <v>107378.77</v>
      </c>
      <c r="GN153">
        <f t="shared" si="144"/>
        <v>0</v>
      </c>
      <c r="GO153">
        <f t="shared" si="145"/>
        <v>0</v>
      </c>
      <c r="GP153">
        <f t="shared" si="146"/>
        <v>107378.77</v>
      </c>
      <c r="GR153">
        <v>0</v>
      </c>
      <c r="GS153">
        <v>3</v>
      </c>
      <c r="GT153">
        <v>0</v>
      </c>
      <c r="GU153" t="s">
        <v>3</v>
      </c>
      <c r="GV153">
        <f t="shared" si="147"/>
        <v>0</v>
      </c>
      <c r="GW153">
        <v>1</v>
      </c>
      <c r="GX153">
        <f t="shared" si="148"/>
        <v>0</v>
      </c>
      <c r="HA153">
        <v>0</v>
      </c>
      <c r="HB153">
        <v>0</v>
      </c>
      <c r="HC153">
        <f t="shared" si="149"/>
        <v>0</v>
      </c>
      <c r="HE153" t="s">
        <v>3</v>
      </c>
      <c r="HF153" t="s">
        <v>3</v>
      </c>
      <c r="HM153" t="s">
        <v>3</v>
      </c>
      <c r="HN153" t="s">
        <v>3</v>
      </c>
      <c r="HO153" t="s">
        <v>3</v>
      </c>
      <c r="HP153" t="s">
        <v>3</v>
      </c>
      <c r="HQ153" t="s">
        <v>3</v>
      </c>
      <c r="HS153">
        <v>0</v>
      </c>
      <c r="IK153">
        <v>0</v>
      </c>
    </row>
    <row r="154" spans="1:245" x14ac:dyDescent="0.25">
      <c r="A154">
        <v>18</v>
      </c>
      <c r="B154">
        <v>1</v>
      </c>
      <c r="C154">
        <v>80</v>
      </c>
      <c r="E154" t="s">
        <v>260</v>
      </c>
      <c r="F154" t="s">
        <v>261</v>
      </c>
      <c r="G154" t="s">
        <v>262</v>
      </c>
      <c r="H154" t="s">
        <v>263</v>
      </c>
      <c r="I154">
        <f>I153*J154</f>
        <v>45.948599999999999</v>
      </c>
      <c r="J154">
        <v>0.2</v>
      </c>
      <c r="K154">
        <v>0.1</v>
      </c>
      <c r="O154">
        <f t="shared" si="116"/>
        <v>43557.89</v>
      </c>
      <c r="P154">
        <f t="shared" si="117"/>
        <v>43557.89</v>
      </c>
      <c r="Q154">
        <f t="shared" si="118"/>
        <v>0</v>
      </c>
      <c r="R154">
        <f t="shared" si="119"/>
        <v>0</v>
      </c>
      <c r="S154">
        <f t="shared" si="120"/>
        <v>0</v>
      </c>
      <c r="T154">
        <f t="shared" si="121"/>
        <v>0</v>
      </c>
      <c r="U154">
        <f t="shared" si="122"/>
        <v>0</v>
      </c>
      <c r="V154">
        <f t="shared" si="123"/>
        <v>0</v>
      </c>
      <c r="W154">
        <f t="shared" si="124"/>
        <v>0</v>
      </c>
      <c r="X154">
        <f t="shared" si="125"/>
        <v>0</v>
      </c>
      <c r="Y154">
        <f t="shared" si="126"/>
        <v>0</v>
      </c>
      <c r="AA154">
        <v>80889732</v>
      </c>
      <c r="AB154">
        <f t="shared" si="127"/>
        <v>947.97</v>
      </c>
      <c r="AC154">
        <f>ROUND((ES154),6)</f>
        <v>947.97</v>
      </c>
      <c r="AD154">
        <f>ROUND((((ET154)-(EU154))+AE154),6)</f>
        <v>0</v>
      </c>
      <c r="AE154">
        <f>ROUND((EU154),6)</f>
        <v>0</v>
      </c>
      <c r="AF154">
        <f>ROUND((EV154),6)</f>
        <v>0</v>
      </c>
      <c r="AG154">
        <f t="shared" si="129"/>
        <v>0</v>
      </c>
      <c r="AH154">
        <f>(EW154)</f>
        <v>0</v>
      </c>
      <c r="AI154">
        <f>(EX154)</f>
        <v>0</v>
      </c>
      <c r="AJ154">
        <f t="shared" si="131"/>
        <v>0</v>
      </c>
      <c r="AK154">
        <v>947.97</v>
      </c>
      <c r="AL154">
        <v>947.97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70</v>
      </c>
      <c r="AU154">
        <v>10</v>
      </c>
      <c r="AV154">
        <v>1</v>
      </c>
      <c r="AW154">
        <v>1</v>
      </c>
      <c r="AZ154">
        <v>1</v>
      </c>
      <c r="BA154">
        <v>1</v>
      </c>
      <c r="BB154">
        <v>1</v>
      </c>
      <c r="BC154">
        <v>1</v>
      </c>
      <c r="BD154" t="s">
        <v>3</v>
      </c>
      <c r="BE154" t="s">
        <v>3</v>
      </c>
      <c r="BF154" t="s">
        <v>3</v>
      </c>
      <c r="BG154" t="s">
        <v>3</v>
      </c>
      <c r="BH154">
        <v>3</v>
      </c>
      <c r="BI154">
        <v>4</v>
      </c>
      <c r="BJ154" t="s">
        <v>264</v>
      </c>
      <c r="BM154">
        <v>0</v>
      </c>
      <c r="BN154">
        <v>0</v>
      </c>
      <c r="BO154" t="s">
        <v>3</v>
      </c>
      <c r="BP154">
        <v>0</v>
      </c>
      <c r="BQ154">
        <v>1</v>
      </c>
      <c r="BR154">
        <v>0</v>
      </c>
      <c r="BS154">
        <v>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3</v>
      </c>
      <c r="BZ154">
        <v>70</v>
      </c>
      <c r="CA154">
        <v>10</v>
      </c>
      <c r="CB154" t="s">
        <v>3</v>
      </c>
      <c r="CE154">
        <v>0</v>
      </c>
      <c r="CF154">
        <v>0</v>
      </c>
      <c r="CG154">
        <v>0</v>
      </c>
      <c r="CM154">
        <v>0</v>
      </c>
      <c r="CN154" t="s">
        <v>3</v>
      </c>
      <c r="CO154">
        <v>0</v>
      </c>
      <c r="CP154">
        <f t="shared" si="132"/>
        <v>43557.89</v>
      </c>
      <c r="CQ154">
        <f t="shared" si="133"/>
        <v>947.97</v>
      </c>
      <c r="CR154">
        <f>((((ET154)*BB154-(EU154)*BS154)+AE154*BS154)*AV154)</f>
        <v>0</v>
      </c>
      <c r="CS154">
        <f t="shared" si="134"/>
        <v>0</v>
      </c>
      <c r="CT154">
        <f t="shared" si="135"/>
        <v>0</v>
      </c>
      <c r="CU154">
        <f t="shared" si="136"/>
        <v>0</v>
      </c>
      <c r="CV154">
        <f t="shared" si="137"/>
        <v>0</v>
      </c>
      <c r="CW154">
        <f t="shared" si="138"/>
        <v>0</v>
      </c>
      <c r="CX154">
        <f t="shared" si="139"/>
        <v>0</v>
      </c>
      <c r="CY154">
        <f t="shared" si="140"/>
        <v>0</v>
      </c>
      <c r="CZ154">
        <f t="shared" si="141"/>
        <v>0</v>
      </c>
      <c r="DC154" t="s">
        <v>3</v>
      </c>
      <c r="DD154" t="s">
        <v>3</v>
      </c>
      <c r="DE154" t="s">
        <v>3</v>
      </c>
      <c r="DF154" t="s">
        <v>3</v>
      </c>
      <c r="DG154" t="s">
        <v>3</v>
      </c>
      <c r="DH154" t="s">
        <v>3</v>
      </c>
      <c r="DI154" t="s">
        <v>3</v>
      </c>
      <c r="DJ154" t="s">
        <v>3</v>
      </c>
      <c r="DK154" t="s">
        <v>3</v>
      </c>
      <c r="DL154" t="s">
        <v>3</v>
      </c>
      <c r="DM154" t="s">
        <v>3</v>
      </c>
      <c r="DN154">
        <v>0</v>
      </c>
      <c r="DO154">
        <v>0</v>
      </c>
      <c r="DP154">
        <v>1</v>
      </c>
      <c r="DQ154">
        <v>1</v>
      </c>
      <c r="DU154">
        <v>1002</v>
      </c>
      <c r="DV154" t="s">
        <v>263</v>
      </c>
      <c r="DW154" t="s">
        <v>263</v>
      </c>
      <c r="DX154">
        <v>1</v>
      </c>
      <c r="DZ154" t="s">
        <v>3</v>
      </c>
      <c r="EA154" t="s">
        <v>3</v>
      </c>
      <c r="EB154" t="s">
        <v>3</v>
      </c>
      <c r="EC154" t="s">
        <v>3</v>
      </c>
      <c r="EE154">
        <v>80196140</v>
      </c>
      <c r="EF154">
        <v>1</v>
      </c>
      <c r="EG154" t="s">
        <v>23</v>
      </c>
      <c r="EH154">
        <v>0</v>
      </c>
      <c r="EI154" t="s">
        <v>3</v>
      </c>
      <c r="EJ154">
        <v>4</v>
      </c>
      <c r="EK154">
        <v>0</v>
      </c>
      <c r="EL154" t="s">
        <v>24</v>
      </c>
      <c r="EM154" t="s">
        <v>25</v>
      </c>
      <c r="EO154" t="s">
        <v>3</v>
      </c>
      <c r="EQ154">
        <v>0</v>
      </c>
      <c r="ER154">
        <v>947.97</v>
      </c>
      <c r="ES154">
        <v>947.97</v>
      </c>
      <c r="ET154">
        <v>0</v>
      </c>
      <c r="EU154">
        <v>0</v>
      </c>
      <c r="EV154">
        <v>0</v>
      </c>
      <c r="EW154">
        <v>0</v>
      </c>
      <c r="EX154">
        <v>0</v>
      </c>
      <c r="FQ154">
        <v>0</v>
      </c>
      <c r="FR154">
        <v>0</v>
      </c>
      <c r="FS154">
        <v>0</v>
      </c>
      <c r="FX154">
        <v>70</v>
      </c>
      <c r="FY154">
        <v>10</v>
      </c>
      <c r="GA154" t="s">
        <v>3</v>
      </c>
      <c r="GD154">
        <v>0</v>
      </c>
      <c r="GF154">
        <v>1267865924</v>
      </c>
      <c r="GG154">
        <v>2</v>
      </c>
      <c r="GH154">
        <v>1</v>
      </c>
      <c r="GI154">
        <v>-2</v>
      </c>
      <c r="GJ154">
        <v>0</v>
      </c>
      <c r="GK154">
        <f>ROUND(R154*(R12)/100,2)</f>
        <v>0</v>
      </c>
      <c r="GL154">
        <f t="shared" si="142"/>
        <v>0</v>
      </c>
      <c r="GM154">
        <f t="shared" si="143"/>
        <v>43557.89</v>
      </c>
      <c r="GN154">
        <f t="shared" si="144"/>
        <v>0</v>
      </c>
      <c r="GO154">
        <f t="shared" si="145"/>
        <v>0</v>
      </c>
      <c r="GP154">
        <f t="shared" si="146"/>
        <v>43557.89</v>
      </c>
      <c r="GR154">
        <v>0</v>
      </c>
      <c r="GS154">
        <v>3</v>
      </c>
      <c r="GT154">
        <v>0</v>
      </c>
      <c r="GU154" t="s">
        <v>3</v>
      </c>
      <c r="GV154">
        <f t="shared" si="147"/>
        <v>0</v>
      </c>
      <c r="GW154">
        <v>1</v>
      </c>
      <c r="GX154">
        <f t="shared" si="148"/>
        <v>0</v>
      </c>
      <c r="HA154">
        <v>0</v>
      </c>
      <c r="HB154">
        <v>0</v>
      </c>
      <c r="HC154">
        <f t="shared" si="149"/>
        <v>0</v>
      </c>
      <c r="HE154" t="s">
        <v>3</v>
      </c>
      <c r="HF154" t="s">
        <v>3</v>
      </c>
      <c r="HM154" t="s">
        <v>259</v>
      </c>
      <c r="HN154" t="s">
        <v>3</v>
      </c>
      <c r="HO154" t="s">
        <v>3</v>
      </c>
      <c r="HP154" t="s">
        <v>3</v>
      </c>
      <c r="HQ154" t="s">
        <v>3</v>
      </c>
      <c r="HS154">
        <v>0</v>
      </c>
      <c r="IK154">
        <v>0</v>
      </c>
    </row>
    <row r="155" spans="1:245" x14ac:dyDescent="0.25">
      <c r="A155">
        <v>17</v>
      </c>
      <c r="B155">
        <v>1</v>
      </c>
      <c r="C155">
        <f>ROW(SmtRes!A81)</f>
        <v>81</v>
      </c>
      <c r="D155">
        <f>ROW(EtalonRes!A81)</f>
        <v>81</v>
      </c>
      <c r="E155" t="s">
        <v>265</v>
      </c>
      <c r="F155" t="s">
        <v>266</v>
      </c>
      <c r="G155" t="s">
        <v>267</v>
      </c>
      <c r="H155" t="s">
        <v>268</v>
      </c>
      <c r="I155">
        <v>313</v>
      </c>
      <c r="J155">
        <v>0</v>
      </c>
      <c r="K155">
        <v>313</v>
      </c>
      <c r="O155">
        <f t="shared" si="116"/>
        <v>307647.7</v>
      </c>
      <c r="P155">
        <f t="shared" si="117"/>
        <v>0</v>
      </c>
      <c r="Q155">
        <f t="shared" si="118"/>
        <v>0</v>
      </c>
      <c r="R155">
        <f t="shared" si="119"/>
        <v>0</v>
      </c>
      <c r="S155">
        <f t="shared" si="120"/>
        <v>307647.7</v>
      </c>
      <c r="T155">
        <f t="shared" si="121"/>
        <v>0</v>
      </c>
      <c r="U155">
        <f t="shared" si="122"/>
        <v>613.48</v>
      </c>
      <c r="V155">
        <f t="shared" si="123"/>
        <v>0</v>
      </c>
      <c r="W155">
        <f t="shared" si="124"/>
        <v>0</v>
      </c>
      <c r="X155">
        <f t="shared" si="125"/>
        <v>215353.39</v>
      </c>
      <c r="Y155">
        <f t="shared" si="126"/>
        <v>30764.77</v>
      </c>
      <c r="AA155">
        <v>80889732</v>
      </c>
      <c r="AB155">
        <f t="shared" si="127"/>
        <v>982.9</v>
      </c>
      <c r="AC155">
        <f>ROUND(((ES155*2)),6)</f>
        <v>0</v>
      </c>
      <c r="AD155">
        <f>ROUND(((((ET155*2))-((EU155*2)))+AE155),6)</f>
        <v>0</v>
      </c>
      <c r="AE155">
        <f>ROUND(((EU155*2)),6)</f>
        <v>0</v>
      </c>
      <c r="AF155">
        <f>ROUND(((EV155*2)),6)</f>
        <v>982.9</v>
      </c>
      <c r="AG155">
        <f t="shared" si="129"/>
        <v>0</v>
      </c>
      <c r="AH155">
        <f>((EW155*2))</f>
        <v>1.96</v>
      </c>
      <c r="AI155">
        <f>((EX155*2))</f>
        <v>0</v>
      </c>
      <c r="AJ155">
        <f t="shared" si="131"/>
        <v>0</v>
      </c>
      <c r="AK155">
        <v>491.45</v>
      </c>
      <c r="AL155">
        <v>0</v>
      </c>
      <c r="AM155">
        <v>0</v>
      </c>
      <c r="AN155">
        <v>0</v>
      </c>
      <c r="AO155">
        <v>491.45</v>
      </c>
      <c r="AP155">
        <v>0</v>
      </c>
      <c r="AQ155">
        <v>0.98</v>
      </c>
      <c r="AR155">
        <v>0</v>
      </c>
      <c r="AS155">
        <v>0</v>
      </c>
      <c r="AT155">
        <v>70</v>
      </c>
      <c r="AU155">
        <v>10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1</v>
      </c>
      <c r="BD155" t="s">
        <v>3</v>
      </c>
      <c r="BE155" t="s">
        <v>3</v>
      </c>
      <c r="BF155" t="s">
        <v>3</v>
      </c>
      <c r="BG155" t="s">
        <v>3</v>
      </c>
      <c r="BH155">
        <v>0</v>
      </c>
      <c r="BI155">
        <v>4</v>
      </c>
      <c r="BJ155" t="s">
        <v>269</v>
      </c>
      <c r="BM155">
        <v>0</v>
      </c>
      <c r="BN155">
        <v>0</v>
      </c>
      <c r="BO155" t="s">
        <v>3</v>
      </c>
      <c r="BP155">
        <v>0</v>
      </c>
      <c r="BQ155">
        <v>1</v>
      </c>
      <c r="BR155">
        <v>0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70</v>
      </c>
      <c r="CA155">
        <v>10</v>
      </c>
      <c r="CB155" t="s">
        <v>3</v>
      </c>
      <c r="CE155">
        <v>0</v>
      </c>
      <c r="CF155">
        <v>0</v>
      </c>
      <c r="CG155">
        <v>0</v>
      </c>
      <c r="CM155">
        <v>0</v>
      </c>
      <c r="CN155" t="s">
        <v>3</v>
      </c>
      <c r="CO155">
        <v>0</v>
      </c>
      <c r="CP155">
        <f t="shared" si="132"/>
        <v>307647.7</v>
      </c>
      <c r="CQ155">
        <f t="shared" si="133"/>
        <v>0</v>
      </c>
      <c r="CR155">
        <f>(((((ET155*2))*BB155-((EU155*2))*BS155)+AE155*BS155)*AV155)</f>
        <v>0</v>
      </c>
      <c r="CS155">
        <f t="shared" si="134"/>
        <v>0</v>
      </c>
      <c r="CT155">
        <f t="shared" si="135"/>
        <v>982.9</v>
      </c>
      <c r="CU155">
        <f t="shared" si="136"/>
        <v>0</v>
      </c>
      <c r="CV155">
        <f t="shared" si="137"/>
        <v>1.96</v>
      </c>
      <c r="CW155">
        <f t="shared" si="138"/>
        <v>0</v>
      </c>
      <c r="CX155">
        <f t="shared" si="139"/>
        <v>0</v>
      </c>
      <c r="CY155">
        <f t="shared" si="140"/>
        <v>215353.39</v>
      </c>
      <c r="CZ155">
        <f t="shared" si="141"/>
        <v>30764.77</v>
      </c>
      <c r="DC155" t="s">
        <v>3</v>
      </c>
      <c r="DD155" t="s">
        <v>259</v>
      </c>
      <c r="DE155" t="s">
        <v>259</v>
      </c>
      <c r="DF155" t="s">
        <v>259</v>
      </c>
      <c r="DG155" t="s">
        <v>259</v>
      </c>
      <c r="DH155" t="s">
        <v>3</v>
      </c>
      <c r="DI155" t="s">
        <v>259</v>
      </c>
      <c r="DJ155" t="s">
        <v>259</v>
      </c>
      <c r="DK155" t="s">
        <v>3</v>
      </c>
      <c r="DL155" t="s">
        <v>3</v>
      </c>
      <c r="DM155" t="s">
        <v>3</v>
      </c>
      <c r="DN155">
        <v>0</v>
      </c>
      <c r="DO155">
        <v>0</v>
      </c>
      <c r="DP155">
        <v>1</v>
      </c>
      <c r="DQ155">
        <v>1</v>
      </c>
      <c r="DU155">
        <v>1013</v>
      </c>
      <c r="DV155" t="s">
        <v>268</v>
      </c>
      <c r="DW155" t="s">
        <v>268</v>
      </c>
      <c r="DX155">
        <v>1</v>
      </c>
      <c r="DZ155" t="s">
        <v>3</v>
      </c>
      <c r="EA155" t="s">
        <v>3</v>
      </c>
      <c r="EB155" t="s">
        <v>3</v>
      </c>
      <c r="EC155" t="s">
        <v>3</v>
      </c>
      <c r="EE155">
        <v>80196140</v>
      </c>
      <c r="EF155">
        <v>1</v>
      </c>
      <c r="EG155" t="s">
        <v>23</v>
      </c>
      <c r="EH155">
        <v>0</v>
      </c>
      <c r="EI155" t="s">
        <v>3</v>
      </c>
      <c r="EJ155">
        <v>4</v>
      </c>
      <c r="EK155">
        <v>0</v>
      </c>
      <c r="EL155" t="s">
        <v>24</v>
      </c>
      <c r="EM155" t="s">
        <v>25</v>
      </c>
      <c r="EO155" t="s">
        <v>3</v>
      </c>
      <c r="EQ155">
        <v>0</v>
      </c>
      <c r="ER155">
        <v>491.45</v>
      </c>
      <c r="ES155">
        <v>0</v>
      </c>
      <c r="ET155">
        <v>0</v>
      </c>
      <c r="EU155">
        <v>0</v>
      </c>
      <c r="EV155">
        <v>491.45</v>
      </c>
      <c r="EW155">
        <v>0.98</v>
      </c>
      <c r="EX155">
        <v>0</v>
      </c>
      <c r="EY155">
        <v>0</v>
      </c>
      <c r="FQ155">
        <v>0</v>
      </c>
      <c r="FR155">
        <v>0</v>
      </c>
      <c r="FS155">
        <v>0</v>
      </c>
      <c r="FX155">
        <v>70</v>
      </c>
      <c r="FY155">
        <v>10</v>
      </c>
      <c r="GA155" t="s">
        <v>3</v>
      </c>
      <c r="GD155">
        <v>0</v>
      </c>
      <c r="GF155">
        <v>-282702822</v>
      </c>
      <c r="GG155">
        <v>2</v>
      </c>
      <c r="GH155">
        <v>1</v>
      </c>
      <c r="GI155">
        <v>-2</v>
      </c>
      <c r="GJ155">
        <v>0</v>
      </c>
      <c r="GK155">
        <f>ROUND(R155*(R12)/100,2)</f>
        <v>0</v>
      </c>
      <c r="GL155">
        <f t="shared" si="142"/>
        <v>0</v>
      </c>
      <c r="GM155">
        <f t="shared" si="143"/>
        <v>553765.86</v>
      </c>
      <c r="GN155">
        <f t="shared" si="144"/>
        <v>0</v>
      </c>
      <c r="GO155">
        <f t="shared" si="145"/>
        <v>0</v>
      </c>
      <c r="GP155">
        <f t="shared" si="146"/>
        <v>553765.86</v>
      </c>
      <c r="GR155">
        <v>0</v>
      </c>
      <c r="GS155">
        <v>3</v>
      </c>
      <c r="GT155">
        <v>0</v>
      </c>
      <c r="GU155" t="s">
        <v>3</v>
      </c>
      <c r="GV155">
        <f t="shared" si="147"/>
        <v>0</v>
      </c>
      <c r="GW155">
        <v>1</v>
      </c>
      <c r="GX155">
        <f t="shared" si="148"/>
        <v>0</v>
      </c>
      <c r="HA155">
        <v>0</v>
      </c>
      <c r="HB155">
        <v>0</v>
      </c>
      <c r="HC155">
        <f t="shared" si="149"/>
        <v>0</v>
      </c>
      <c r="HE155" t="s">
        <v>3</v>
      </c>
      <c r="HF155" t="s">
        <v>3</v>
      </c>
      <c r="HM155" t="s">
        <v>3</v>
      </c>
      <c r="HN155" t="s">
        <v>3</v>
      </c>
      <c r="HO155" t="s">
        <v>3</v>
      </c>
      <c r="HP155" t="s">
        <v>3</v>
      </c>
      <c r="HQ155" t="s">
        <v>3</v>
      </c>
      <c r="HS155">
        <v>0</v>
      </c>
      <c r="IK155">
        <v>0</v>
      </c>
    </row>
    <row r="156" spans="1:245" x14ac:dyDescent="0.25">
      <c r="A156">
        <v>17</v>
      </c>
      <c r="B156">
        <v>1</v>
      </c>
      <c r="C156">
        <f>ROW(SmtRes!A84)</f>
        <v>84</v>
      </c>
      <c r="D156">
        <f>ROW(EtalonRes!A84)</f>
        <v>84</v>
      </c>
      <c r="E156" t="s">
        <v>270</v>
      </c>
      <c r="F156" t="s">
        <v>223</v>
      </c>
      <c r="G156" t="s">
        <v>271</v>
      </c>
      <c r="H156" t="s">
        <v>39</v>
      </c>
      <c r="I156">
        <v>28.17</v>
      </c>
      <c r="J156">
        <v>0</v>
      </c>
      <c r="K156">
        <v>28.17</v>
      </c>
      <c r="O156">
        <f t="shared" si="116"/>
        <v>896402.09</v>
      </c>
      <c r="P156">
        <f t="shared" si="117"/>
        <v>43231.94</v>
      </c>
      <c r="Q156">
        <f t="shared" si="118"/>
        <v>709308.21</v>
      </c>
      <c r="R156">
        <f t="shared" si="119"/>
        <v>244878.43</v>
      </c>
      <c r="S156">
        <f t="shared" si="120"/>
        <v>143861.94</v>
      </c>
      <c r="T156">
        <f t="shared" si="121"/>
        <v>0</v>
      </c>
      <c r="U156">
        <f t="shared" si="122"/>
        <v>441.70560000000006</v>
      </c>
      <c r="V156">
        <f t="shared" si="123"/>
        <v>0</v>
      </c>
      <c r="W156">
        <f t="shared" si="124"/>
        <v>0</v>
      </c>
      <c r="X156">
        <f t="shared" si="125"/>
        <v>100703.36</v>
      </c>
      <c r="Y156">
        <f t="shared" si="126"/>
        <v>14386.19</v>
      </c>
      <c r="AA156">
        <v>80889732</v>
      </c>
      <c r="AB156">
        <f t="shared" si="127"/>
        <v>31821.16</v>
      </c>
      <c r="AC156">
        <f>ROUND(((ES156*28)),6)</f>
        <v>1534.68</v>
      </c>
      <c r="AD156">
        <f>ROUND(((((ET156*28))-((EU156*28)))+AE156),6)</f>
        <v>25179.56</v>
      </c>
      <c r="AE156">
        <f>ROUND(((EU156*28)),6)</f>
        <v>8692.8799999999992</v>
      </c>
      <c r="AF156">
        <f>ROUND(((EV156*28)),6)</f>
        <v>5106.92</v>
      </c>
      <c r="AG156">
        <f t="shared" si="129"/>
        <v>0</v>
      </c>
      <c r="AH156">
        <f>((EW156*28))</f>
        <v>15.680000000000001</v>
      </c>
      <c r="AI156">
        <f>((EX156*28))</f>
        <v>0</v>
      </c>
      <c r="AJ156">
        <f t="shared" si="131"/>
        <v>0</v>
      </c>
      <c r="AK156">
        <v>1136.47</v>
      </c>
      <c r="AL156">
        <v>54.81</v>
      </c>
      <c r="AM156">
        <v>899.27</v>
      </c>
      <c r="AN156">
        <v>310.45999999999998</v>
      </c>
      <c r="AO156">
        <v>182.39</v>
      </c>
      <c r="AP156">
        <v>0</v>
      </c>
      <c r="AQ156">
        <v>0.56000000000000005</v>
      </c>
      <c r="AR156">
        <v>0</v>
      </c>
      <c r="AS156">
        <v>0</v>
      </c>
      <c r="AT156">
        <v>70</v>
      </c>
      <c r="AU156">
        <v>10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</v>
      </c>
      <c r="BD156" t="s">
        <v>3</v>
      </c>
      <c r="BE156" t="s">
        <v>3</v>
      </c>
      <c r="BF156" t="s">
        <v>3</v>
      </c>
      <c r="BG156" t="s">
        <v>3</v>
      </c>
      <c r="BH156">
        <v>0</v>
      </c>
      <c r="BI156">
        <v>4</v>
      </c>
      <c r="BJ156" t="s">
        <v>225</v>
      </c>
      <c r="BM156">
        <v>0</v>
      </c>
      <c r="BN156">
        <v>0</v>
      </c>
      <c r="BO156" t="s">
        <v>3</v>
      </c>
      <c r="BP156">
        <v>0</v>
      </c>
      <c r="BQ156">
        <v>1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3</v>
      </c>
      <c r="BZ156">
        <v>70</v>
      </c>
      <c r="CA156">
        <v>10</v>
      </c>
      <c r="CB156" t="s">
        <v>3</v>
      </c>
      <c r="CE156">
        <v>0</v>
      </c>
      <c r="CF156">
        <v>0</v>
      </c>
      <c r="CG156">
        <v>0</v>
      </c>
      <c r="CM156">
        <v>0</v>
      </c>
      <c r="CN156" t="s">
        <v>3</v>
      </c>
      <c r="CO156">
        <v>0</v>
      </c>
      <c r="CP156">
        <f t="shared" si="132"/>
        <v>896402.08999999985</v>
      </c>
      <c r="CQ156">
        <f t="shared" si="133"/>
        <v>1534.68</v>
      </c>
      <c r="CR156">
        <f>(((((ET156*28))*BB156-((EU156*28))*BS156)+AE156*BS156)*AV156)</f>
        <v>25179.559999999998</v>
      </c>
      <c r="CS156">
        <f t="shared" si="134"/>
        <v>8692.8799999999992</v>
      </c>
      <c r="CT156">
        <f t="shared" si="135"/>
        <v>5106.92</v>
      </c>
      <c r="CU156">
        <f t="shared" si="136"/>
        <v>0</v>
      </c>
      <c r="CV156">
        <f t="shared" si="137"/>
        <v>15.680000000000001</v>
      </c>
      <c r="CW156">
        <f t="shared" si="138"/>
        <v>0</v>
      </c>
      <c r="CX156">
        <f t="shared" si="139"/>
        <v>0</v>
      </c>
      <c r="CY156">
        <f t="shared" si="140"/>
        <v>100703.35800000001</v>
      </c>
      <c r="CZ156">
        <f t="shared" si="141"/>
        <v>14386.194</v>
      </c>
      <c r="DC156" t="s">
        <v>3</v>
      </c>
      <c r="DD156" t="s">
        <v>181</v>
      </c>
      <c r="DE156" t="s">
        <v>181</v>
      </c>
      <c r="DF156" t="s">
        <v>181</v>
      </c>
      <c r="DG156" t="s">
        <v>181</v>
      </c>
      <c r="DH156" t="s">
        <v>3</v>
      </c>
      <c r="DI156" t="s">
        <v>181</v>
      </c>
      <c r="DJ156" t="s">
        <v>181</v>
      </c>
      <c r="DK156" t="s">
        <v>3</v>
      </c>
      <c r="DL156" t="s">
        <v>3</v>
      </c>
      <c r="DM156" t="s">
        <v>3</v>
      </c>
      <c r="DN156">
        <v>0</v>
      </c>
      <c r="DO156">
        <v>0</v>
      </c>
      <c r="DP156">
        <v>1</v>
      </c>
      <c r="DQ156">
        <v>1</v>
      </c>
      <c r="DU156">
        <v>1007</v>
      </c>
      <c r="DV156" t="s">
        <v>39</v>
      </c>
      <c r="DW156" t="s">
        <v>39</v>
      </c>
      <c r="DX156">
        <v>1</v>
      </c>
      <c r="DZ156" t="s">
        <v>3</v>
      </c>
      <c r="EA156" t="s">
        <v>3</v>
      </c>
      <c r="EB156" t="s">
        <v>3</v>
      </c>
      <c r="EC156" t="s">
        <v>3</v>
      </c>
      <c r="EE156">
        <v>80196140</v>
      </c>
      <c r="EF156">
        <v>1</v>
      </c>
      <c r="EG156" t="s">
        <v>23</v>
      </c>
      <c r="EH156">
        <v>0</v>
      </c>
      <c r="EI156" t="s">
        <v>3</v>
      </c>
      <c r="EJ156">
        <v>4</v>
      </c>
      <c r="EK156">
        <v>0</v>
      </c>
      <c r="EL156" t="s">
        <v>24</v>
      </c>
      <c r="EM156" t="s">
        <v>25</v>
      </c>
      <c r="EO156" t="s">
        <v>3</v>
      </c>
      <c r="EQ156">
        <v>0</v>
      </c>
      <c r="ER156">
        <v>1136.47</v>
      </c>
      <c r="ES156">
        <v>54.81</v>
      </c>
      <c r="ET156">
        <v>899.27</v>
      </c>
      <c r="EU156">
        <v>310.45999999999998</v>
      </c>
      <c r="EV156">
        <v>182.39</v>
      </c>
      <c r="EW156">
        <v>0.56000000000000005</v>
      </c>
      <c r="EX156">
        <v>0</v>
      </c>
      <c r="EY156">
        <v>0</v>
      </c>
      <c r="FQ156">
        <v>0</v>
      </c>
      <c r="FR156">
        <v>0</v>
      </c>
      <c r="FS156">
        <v>0</v>
      </c>
      <c r="FX156">
        <v>70</v>
      </c>
      <c r="FY156">
        <v>10</v>
      </c>
      <c r="GA156" t="s">
        <v>3</v>
      </c>
      <c r="GD156">
        <v>0</v>
      </c>
      <c r="GF156">
        <v>1703893866</v>
      </c>
      <c r="GG156">
        <v>2</v>
      </c>
      <c r="GH156">
        <v>1</v>
      </c>
      <c r="GI156">
        <v>-2</v>
      </c>
      <c r="GJ156">
        <v>0</v>
      </c>
      <c r="GK156">
        <f>ROUND(R156*(R12)/100,2)</f>
        <v>264468.7</v>
      </c>
      <c r="GL156">
        <f t="shared" si="142"/>
        <v>0</v>
      </c>
      <c r="GM156">
        <f t="shared" si="143"/>
        <v>1275960.3400000001</v>
      </c>
      <c r="GN156">
        <f t="shared" si="144"/>
        <v>0</v>
      </c>
      <c r="GO156">
        <f t="shared" si="145"/>
        <v>0</v>
      </c>
      <c r="GP156">
        <f t="shared" si="146"/>
        <v>1275960.3400000001</v>
      </c>
      <c r="GR156">
        <v>0</v>
      </c>
      <c r="GS156">
        <v>3</v>
      </c>
      <c r="GT156">
        <v>0</v>
      </c>
      <c r="GU156" t="s">
        <v>3</v>
      </c>
      <c r="GV156">
        <f t="shared" si="147"/>
        <v>0</v>
      </c>
      <c r="GW156">
        <v>1</v>
      </c>
      <c r="GX156">
        <f t="shared" si="148"/>
        <v>0</v>
      </c>
      <c r="HA156">
        <v>0</v>
      </c>
      <c r="HB156">
        <v>0</v>
      </c>
      <c r="HC156">
        <f t="shared" si="149"/>
        <v>0</v>
      </c>
      <c r="HE156" t="s">
        <v>3</v>
      </c>
      <c r="HF156" t="s">
        <v>3</v>
      </c>
      <c r="HM156" t="s">
        <v>3</v>
      </c>
      <c r="HN156" t="s">
        <v>3</v>
      </c>
      <c r="HO156" t="s">
        <v>3</v>
      </c>
      <c r="HP156" t="s">
        <v>3</v>
      </c>
      <c r="HQ156" t="s">
        <v>3</v>
      </c>
      <c r="HS156">
        <v>0</v>
      </c>
      <c r="IK156">
        <v>0</v>
      </c>
    </row>
    <row r="157" spans="1:245" x14ac:dyDescent="0.25">
      <c r="A157">
        <v>18</v>
      </c>
      <c r="B157">
        <v>1</v>
      </c>
      <c r="C157">
        <v>84</v>
      </c>
      <c r="E157" t="s">
        <v>272</v>
      </c>
      <c r="F157" t="s">
        <v>37</v>
      </c>
      <c r="G157" t="s">
        <v>38</v>
      </c>
      <c r="H157" t="s">
        <v>39</v>
      </c>
      <c r="I157">
        <f>I156*J157</f>
        <v>-788.76</v>
      </c>
      <c r="J157">
        <v>-27.999999999999996</v>
      </c>
      <c r="K157">
        <v>-1</v>
      </c>
      <c r="O157">
        <f t="shared" si="116"/>
        <v>-43231.94</v>
      </c>
      <c r="P157">
        <f t="shared" si="117"/>
        <v>-43231.94</v>
      </c>
      <c r="Q157">
        <f t="shared" si="118"/>
        <v>0</v>
      </c>
      <c r="R157">
        <f t="shared" si="119"/>
        <v>0</v>
      </c>
      <c r="S157">
        <f t="shared" si="120"/>
        <v>0</v>
      </c>
      <c r="T157">
        <f t="shared" si="121"/>
        <v>0</v>
      </c>
      <c r="U157">
        <f t="shared" si="122"/>
        <v>0</v>
      </c>
      <c r="V157">
        <f t="shared" si="123"/>
        <v>0</v>
      </c>
      <c r="W157">
        <f t="shared" si="124"/>
        <v>0</v>
      </c>
      <c r="X157">
        <f t="shared" si="125"/>
        <v>0</v>
      </c>
      <c r="Y157">
        <f t="shared" si="126"/>
        <v>0</v>
      </c>
      <c r="AA157">
        <v>80889732</v>
      </c>
      <c r="AB157">
        <f t="shared" si="127"/>
        <v>54.81</v>
      </c>
      <c r="AC157">
        <f>ROUND((ES157),6)</f>
        <v>54.81</v>
      </c>
      <c r="AD157">
        <f>ROUND((((ET157)-(EU157))+AE157),6)</f>
        <v>0</v>
      </c>
      <c r="AE157">
        <f>ROUND((EU157),6)</f>
        <v>0</v>
      </c>
      <c r="AF157">
        <f>ROUND((EV157),6)</f>
        <v>0</v>
      </c>
      <c r="AG157">
        <f t="shared" si="129"/>
        <v>0</v>
      </c>
      <c r="AH157">
        <f>(EW157)</f>
        <v>0</v>
      </c>
      <c r="AI157">
        <f>(EX157)</f>
        <v>0</v>
      </c>
      <c r="AJ157">
        <f t="shared" si="131"/>
        <v>0</v>
      </c>
      <c r="AK157">
        <v>54.81</v>
      </c>
      <c r="AL157">
        <v>54.81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70</v>
      </c>
      <c r="AU157">
        <v>10</v>
      </c>
      <c r="AV157">
        <v>1</v>
      </c>
      <c r="AW157">
        <v>1</v>
      </c>
      <c r="AZ157">
        <v>1</v>
      </c>
      <c r="BA157">
        <v>1</v>
      </c>
      <c r="BB157">
        <v>1</v>
      </c>
      <c r="BC157">
        <v>1</v>
      </c>
      <c r="BD157" t="s">
        <v>3</v>
      </c>
      <c r="BE157" t="s">
        <v>3</v>
      </c>
      <c r="BF157" t="s">
        <v>3</v>
      </c>
      <c r="BG157" t="s">
        <v>3</v>
      </c>
      <c r="BH157">
        <v>3</v>
      </c>
      <c r="BI157">
        <v>4</v>
      </c>
      <c r="BJ157" t="s">
        <v>40</v>
      </c>
      <c r="BM157">
        <v>0</v>
      </c>
      <c r="BN157">
        <v>0</v>
      </c>
      <c r="BO157" t="s">
        <v>3</v>
      </c>
      <c r="BP157">
        <v>0</v>
      </c>
      <c r="BQ157">
        <v>1</v>
      </c>
      <c r="BR157">
        <v>1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70</v>
      </c>
      <c r="CA157">
        <v>10</v>
      </c>
      <c r="CB157" t="s">
        <v>3</v>
      </c>
      <c r="CE157">
        <v>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 t="shared" si="132"/>
        <v>-43231.94</v>
      </c>
      <c r="CQ157">
        <f t="shared" si="133"/>
        <v>54.81</v>
      </c>
      <c r="CR157">
        <f>((((ET157)*BB157-(EU157)*BS157)+AE157*BS157)*AV157)</f>
        <v>0</v>
      </c>
      <c r="CS157">
        <f t="shared" si="134"/>
        <v>0</v>
      </c>
      <c r="CT157">
        <f t="shared" si="135"/>
        <v>0</v>
      </c>
      <c r="CU157">
        <f t="shared" si="136"/>
        <v>0</v>
      </c>
      <c r="CV157">
        <f t="shared" si="137"/>
        <v>0</v>
      </c>
      <c r="CW157">
        <f t="shared" si="138"/>
        <v>0</v>
      </c>
      <c r="CX157">
        <f t="shared" si="139"/>
        <v>0</v>
      </c>
      <c r="CY157">
        <f t="shared" si="140"/>
        <v>0</v>
      </c>
      <c r="CZ157">
        <f t="shared" si="141"/>
        <v>0</v>
      </c>
      <c r="DC157" t="s">
        <v>3</v>
      </c>
      <c r="DD157" t="s">
        <v>3</v>
      </c>
      <c r="DE157" t="s">
        <v>3</v>
      </c>
      <c r="DF157" t="s">
        <v>3</v>
      </c>
      <c r="DG157" t="s">
        <v>3</v>
      </c>
      <c r="DH157" t="s">
        <v>3</v>
      </c>
      <c r="DI157" t="s">
        <v>3</v>
      </c>
      <c r="DJ157" t="s">
        <v>3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1007</v>
      </c>
      <c r="DV157" t="s">
        <v>39</v>
      </c>
      <c r="DW157" t="s">
        <v>39</v>
      </c>
      <c r="DX157">
        <v>1</v>
      </c>
      <c r="DZ157" t="s">
        <v>3</v>
      </c>
      <c r="EA157" t="s">
        <v>3</v>
      </c>
      <c r="EB157" t="s">
        <v>3</v>
      </c>
      <c r="EC157" t="s">
        <v>3</v>
      </c>
      <c r="EE157">
        <v>80196140</v>
      </c>
      <c r="EF157">
        <v>1</v>
      </c>
      <c r="EG157" t="s">
        <v>23</v>
      </c>
      <c r="EH157">
        <v>0</v>
      </c>
      <c r="EI157" t="s">
        <v>3</v>
      </c>
      <c r="EJ157">
        <v>4</v>
      </c>
      <c r="EK157">
        <v>0</v>
      </c>
      <c r="EL157" t="s">
        <v>24</v>
      </c>
      <c r="EM157" t="s">
        <v>25</v>
      </c>
      <c r="EO157" t="s">
        <v>3</v>
      </c>
      <c r="EQ157">
        <v>32768</v>
      </c>
      <c r="ER157">
        <v>54.81</v>
      </c>
      <c r="ES157">
        <v>54.81</v>
      </c>
      <c r="ET157">
        <v>0</v>
      </c>
      <c r="EU157">
        <v>0</v>
      </c>
      <c r="EV157">
        <v>0</v>
      </c>
      <c r="EW157">
        <v>0</v>
      </c>
      <c r="EX157">
        <v>0</v>
      </c>
      <c r="FQ157">
        <v>0</v>
      </c>
      <c r="FR157">
        <v>0</v>
      </c>
      <c r="FS157">
        <v>0</v>
      </c>
      <c r="FX157">
        <v>70</v>
      </c>
      <c r="FY157">
        <v>10</v>
      </c>
      <c r="GA157" t="s">
        <v>3</v>
      </c>
      <c r="GD157">
        <v>0</v>
      </c>
      <c r="GF157">
        <v>2112060389</v>
      </c>
      <c r="GG157">
        <v>2</v>
      </c>
      <c r="GH157">
        <v>1</v>
      </c>
      <c r="GI157">
        <v>-2</v>
      </c>
      <c r="GJ157">
        <v>0</v>
      </c>
      <c r="GK157">
        <f>ROUND(R157*(R12)/100,2)</f>
        <v>0</v>
      </c>
      <c r="GL157">
        <f t="shared" si="142"/>
        <v>0</v>
      </c>
      <c r="GM157">
        <f t="shared" si="143"/>
        <v>-43231.94</v>
      </c>
      <c r="GN157">
        <f t="shared" si="144"/>
        <v>0</v>
      </c>
      <c r="GO157">
        <f t="shared" si="145"/>
        <v>0</v>
      </c>
      <c r="GP157">
        <f t="shared" si="146"/>
        <v>-43231.94</v>
      </c>
      <c r="GR157">
        <v>0</v>
      </c>
      <c r="GS157">
        <v>3</v>
      </c>
      <c r="GT157">
        <v>0</v>
      </c>
      <c r="GU157" t="s">
        <v>3</v>
      </c>
      <c r="GV157">
        <f t="shared" si="147"/>
        <v>0</v>
      </c>
      <c r="GW157">
        <v>1</v>
      </c>
      <c r="GX157">
        <f t="shared" si="148"/>
        <v>0</v>
      </c>
      <c r="HA157">
        <v>0</v>
      </c>
      <c r="HB157">
        <v>0</v>
      </c>
      <c r="HC157">
        <f t="shared" si="149"/>
        <v>0</v>
      </c>
      <c r="HE157" t="s">
        <v>3</v>
      </c>
      <c r="HF157" t="s">
        <v>3</v>
      </c>
      <c r="HM157" t="s">
        <v>181</v>
      </c>
      <c r="HN157" t="s">
        <v>3</v>
      </c>
      <c r="HO157" t="s">
        <v>3</v>
      </c>
      <c r="HP157" t="s">
        <v>3</v>
      </c>
      <c r="HQ157" t="s">
        <v>3</v>
      </c>
      <c r="HS157">
        <v>0</v>
      </c>
      <c r="IK157">
        <v>0</v>
      </c>
    </row>
    <row r="159" spans="1:245" ht="13" x14ac:dyDescent="0.3">
      <c r="A159" s="2">
        <v>51</v>
      </c>
      <c r="B159" s="2">
        <f>B135</f>
        <v>1</v>
      </c>
      <c r="C159" s="2">
        <f>A135</f>
        <v>5</v>
      </c>
      <c r="D159" s="2">
        <f>ROW(A135)</f>
        <v>135</v>
      </c>
      <c r="E159" s="2"/>
      <c r="F159" s="2" t="str">
        <f>IF(F135&lt;&gt;"",F135,"")</f>
        <v>Новый подраздел</v>
      </c>
      <c r="G159" s="2" t="str">
        <f>IF(G135&lt;&gt;"",G135,"")</f>
        <v>Подраздел: УХОД ЗА ЗЕЛЕНЫМИ НАСАЖДЕНИЯМИ</v>
      </c>
      <c r="H159" s="2">
        <v>0</v>
      </c>
      <c r="I159" s="2"/>
      <c r="J159" s="2"/>
      <c r="K159" s="2"/>
      <c r="L159" s="2"/>
      <c r="M159" s="2"/>
      <c r="N159" s="2"/>
      <c r="O159" s="2">
        <f t="shared" ref="O159:T159" si="152">ROUND(AB159,2)</f>
        <v>27690244.25</v>
      </c>
      <c r="P159" s="2">
        <f t="shared" si="152"/>
        <v>457077.63</v>
      </c>
      <c r="Q159" s="2">
        <f t="shared" si="152"/>
        <v>10400969.210000001</v>
      </c>
      <c r="R159" s="2">
        <f t="shared" si="152"/>
        <v>3493841.24</v>
      </c>
      <c r="S159" s="2">
        <f t="shared" si="152"/>
        <v>16832197.41</v>
      </c>
      <c r="T159" s="2">
        <f t="shared" si="152"/>
        <v>0</v>
      </c>
      <c r="U159" s="2">
        <f>AH159</f>
        <v>36968.757519999999</v>
      </c>
      <c r="V159" s="2">
        <f>AI159</f>
        <v>0</v>
      </c>
      <c r="W159" s="2">
        <f>ROUND(AJ159,2)</f>
        <v>0</v>
      </c>
      <c r="X159" s="2">
        <f>ROUND(AK159,2)</f>
        <v>11782538.189999999</v>
      </c>
      <c r="Y159" s="2">
        <f>ROUND(AL159,2)</f>
        <v>1683219.73</v>
      </c>
      <c r="Z159" s="2"/>
      <c r="AA159" s="2"/>
      <c r="AB159" s="2">
        <f>ROUND(SUMIF(AA139:AA157,"=80889732",O139:O157),2)</f>
        <v>27690244.25</v>
      </c>
      <c r="AC159" s="2">
        <f>ROUND(SUMIF(AA139:AA157,"=80889732",P139:P157),2)</f>
        <v>457077.63</v>
      </c>
      <c r="AD159" s="2">
        <f>ROUND(SUMIF(AA139:AA157,"=80889732",Q139:Q157),2)</f>
        <v>10400969.210000001</v>
      </c>
      <c r="AE159" s="2">
        <f>ROUND(SUMIF(AA139:AA157,"=80889732",R139:R157),2)</f>
        <v>3493841.24</v>
      </c>
      <c r="AF159" s="2">
        <f>ROUND(SUMIF(AA139:AA157,"=80889732",S139:S157),2)</f>
        <v>16832197.41</v>
      </c>
      <c r="AG159" s="2">
        <f>ROUND(SUMIF(AA139:AA157,"=80889732",T139:T157),2)</f>
        <v>0</v>
      </c>
      <c r="AH159" s="2">
        <f>SUMIF(AA139:AA157,"=80889732",U139:U157)</f>
        <v>36968.757519999999</v>
      </c>
      <c r="AI159" s="2">
        <f>SUMIF(AA139:AA157,"=80889732",V139:V157)</f>
        <v>0</v>
      </c>
      <c r="AJ159" s="2">
        <f>ROUND(SUMIF(AA139:AA157,"=80889732",W139:W157),2)</f>
        <v>0</v>
      </c>
      <c r="AK159" s="2">
        <f>ROUND(SUMIF(AA139:AA157,"=80889732",X139:X157),2)</f>
        <v>11782538.189999999</v>
      </c>
      <c r="AL159" s="2">
        <f>ROUND(SUMIF(AA139:AA157,"=80889732",Y139:Y157),2)</f>
        <v>1683219.73</v>
      </c>
      <c r="AM159" s="2"/>
      <c r="AN159" s="2"/>
      <c r="AO159" s="2">
        <f t="shared" ref="AO159:BD159" si="153">ROUND(BX159,2)</f>
        <v>0</v>
      </c>
      <c r="AP159" s="2">
        <f t="shared" si="153"/>
        <v>0</v>
      </c>
      <c r="AQ159" s="2">
        <f t="shared" si="153"/>
        <v>0</v>
      </c>
      <c r="AR159" s="2">
        <f t="shared" si="153"/>
        <v>44929350.710000001</v>
      </c>
      <c r="AS159" s="2">
        <f t="shared" si="153"/>
        <v>0</v>
      </c>
      <c r="AT159" s="2">
        <f t="shared" si="153"/>
        <v>0</v>
      </c>
      <c r="AU159" s="2">
        <f t="shared" si="153"/>
        <v>44929350.710000001</v>
      </c>
      <c r="AV159" s="2">
        <f t="shared" si="153"/>
        <v>457077.63</v>
      </c>
      <c r="AW159" s="2">
        <f t="shared" si="153"/>
        <v>457077.63</v>
      </c>
      <c r="AX159" s="2">
        <f t="shared" si="153"/>
        <v>0</v>
      </c>
      <c r="AY159" s="2">
        <f t="shared" si="153"/>
        <v>457077.63</v>
      </c>
      <c r="AZ159" s="2">
        <f t="shared" si="153"/>
        <v>0</v>
      </c>
      <c r="BA159" s="2">
        <f t="shared" si="153"/>
        <v>0</v>
      </c>
      <c r="BB159" s="2">
        <f t="shared" si="153"/>
        <v>0</v>
      </c>
      <c r="BC159" s="2">
        <f t="shared" si="153"/>
        <v>0</v>
      </c>
      <c r="BD159" s="2">
        <f t="shared" si="153"/>
        <v>0</v>
      </c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>
        <f>ROUND(SUMIF(AA139:AA157,"=80889732",FQ139:FQ157),2)</f>
        <v>0</v>
      </c>
      <c r="BY159" s="2">
        <f>ROUND(SUMIF(AA139:AA157,"=80889732",FR139:FR157),2)</f>
        <v>0</v>
      </c>
      <c r="BZ159" s="2">
        <f>ROUND(SUMIF(AA139:AA157,"=80889732",GL139:GL157),2)</f>
        <v>0</v>
      </c>
      <c r="CA159" s="2">
        <f>ROUND(SUMIF(AA139:AA157,"=80889732",GM139:GM157),2)</f>
        <v>44929350.710000001</v>
      </c>
      <c r="CB159" s="2">
        <f>ROUND(SUMIF(AA139:AA157,"=80889732",GN139:GN157),2)</f>
        <v>0</v>
      </c>
      <c r="CC159" s="2">
        <f>ROUND(SUMIF(AA139:AA157,"=80889732",GO139:GO157),2)</f>
        <v>0</v>
      </c>
      <c r="CD159" s="2">
        <f>ROUND(SUMIF(AA139:AA157,"=80889732",GP139:GP157),2)</f>
        <v>44929350.710000001</v>
      </c>
      <c r="CE159" s="2">
        <f>AC159-BX159</f>
        <v>457077.63</v>
      </c>
      <c r="CF159" s="2">
        <f>AC159-BY159</f>
        <v>457077.63</v>
      </c>
      <c r="CG159" s="2">
        <f>BX159-BZ159</f>
        <v>0</v>
      </c>
      <c r="CH159" s="2">
        <f>AC159-BX159-BY159+BZ159</f>
        <v>457077.63</v>
      </c>
      <c r="CI159" s="2">
        <f>BY159-BZ159</f>
        <v>0</v>
      </c>
      <c r="CJ159" s="2">
        <f>ROUND(SUMIF(AA139:AA157,"=80889732",GX139:GX157),2)</f>
        <v>0</v>
      </c>
      <c r="CK159" s="2">
        <f>ROUND(SUMIF(AA139:AA157,"=80889732",GY139:GY157),2)</f>
        <v>0</v>
      </c>
      <c r="CL159" s="2">
        <f>ROUND(SUMIF(AA139:AA157,"=80889732",GZ139:GZ157),2)</f>
        <v>0</v>
      </c>
      <c r="CM159" s="2">
        <f>ROUND(SUMIF(AA139:AA157,"=80889732",HD139:HD157),2)</f>
        <v>0</v>
      </c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  <c r="GU159" s="3"/>
      <c r="GV159" s="3"/>
      <c r="GW159" s="3"/>
      <c r="GX159" s="3">
        <v>0</v>
      </c>
    </row>
    <row r="161" spans="1:28" ht="13" x14ac:dyDescent="0.3">
      <c r="A161" s="4">
        <v>50</v>
      </c>
      <c r="B161" s="4">
        <v>0</v>
      </c>
      <c r="C161" s="4">
        <v>0</v>
      </c>
      <c r="D161" s="4">
        <v>1</v>
      </c>
      <c r="E161" s="4">
        <v>201</v>
      </c>
      <c r="F161" s="4">
        <f>ROUND(Source!O159,O161)</f>
        <v>27690244.25</v>
      </c>
      <c r="G161" s="4" t="s">
        <v>106</v>
      </c>
      <c r="H161" s="4" t="s">
        <v>107</v>
      </c>
      <c r="I161" s="4"/>
      <c r="J161" s="4"/>
      <c r="K161" s="4">
        <v>201</v>
      </c>
      <c r="L161" s="4">
        <v>1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27690244.25</v>
      </c>
      <c r="X161" s="4">
        <v>1</v>
      </c>
      <c r="Y161" s="4">
        <v>27690244.25</v>
      </c>
      <c r="Z161" s="4"/>
      <c r="AA161" s="4"/>
      <c r="AB161" s="4"/>
    </row>
    <row r="162" spans="1:28" ht="13" x14ac:dyDescent="0.3">
      <c r="A162" s="4">
        <v>50</v>
      </c>
      <c r="B162" s="4">
        <v>0</v>
      </c>
      <c r="C162" s="4">
        <v>0</v>
      </c>
      <c r="D162" s="4">
        <v>1</v>
      </c>
      <c r="E162" s="4">
        <v>202</v>
      </c>
      <c r="F162" s="4">
        <f>ROUND(Source!P159,O162)</f>
        <v>457077.63</v>
      </c>
      <c r="G162" s="4" t="s">
        <v>108</v>
      </c>
      <c r="H162" s="4" t="s">
        <v>109</v>
      </c>
      <c r="I162" s="4"/>
      <c r="J162" s="4"/>
      <c r="K162" s="4">
        <v>202</v>
      </c>
      <c r="L162" s="4">
        <v>2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457077.63</v>
      </c>
      <c r="X162" s="4">
        <v>1</v>
      </c>
      <c r="Y162" s="4">
        <v>457077.63</v>
      </c>
      <c r="Z162" s="4"/>
      <c r="AA162" s="4"/>
      <c r="AB162" s="4"/>
    </row>
    <row r="163" spans="1:28" ht="13" x14ac:dyDescent="0.3">
      <c r="A163" s="4">
        <v>50</v>
      </c>
      <c r="B163" s="4">
        <v>0</v>
      </c>
      <c r="C163" s="4">
        <v>0</v>
      </c>
      <c r="D163" s="4">
        <v>1</v>
      </c>
      <c r="E163" s="4">
        <v>222</v>
      </c>
      <c r="F163" s="4">
        <f>ROUND(Source!AO159,O163)</f>
        <v>0</v>
      </c>
      <c r="G163" s="4" t="s">
        <v>110</v>
      </c>
      <c r="H163" s="4" t="s">
        <v>111</v>
      </c>
      <c r="I163" s="4"/>
      <c r="J163" s="4"/>
      <c r="K163" s="4">
        <v>222</v>
      </c>
      <c r="L163" s="4">
        <v>3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 ht="13" x14ac:dyDescent="0.3">
      <c r="A164" s="4">
        <v>50</v>
      </c>
      <c r="B164" s="4">
        <v>0</v>
      </c>
      <c r="C164" s="4">
        <v>0</v>
      </c>
      <c r="D164" s="4">
        <v>1</v>
      </c>
      <c r="E164" s="4">
        <v>225</v>
      </c>
      <c r="F164" s="4">
        <f>ROUND(Source!AV159,O164)</f>
        <v>457077.63</v>
      </c>
      <c r="G164" s="4" t="s">
        <v>112</v>
      </c>
      <c r="H164" s="4" t="s">
        <v>113</v>
      </c>
      <c r="I164" s="4"/>
      <c r="J164" s="4"/>
      <c r="K164" s="4">
        <v>225</v>
      </c>
      <c r="L164" s="4">
        <v>4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457077.63</v>
      </c>
      <c r="X164" s="4">
        <v>1</v>
      </c>
      <c r="Y164" s="4">
        <v>457077.63</v>
      </c>
      <c r="Z164" s="4"/>
      <c r="AA164" s="4"/>
      <c r="AB164" s="4"/>
    </row>
    <row r="165" spans="1:28" ht="13" x14ac:dyDescent="0.3">
      <c r="A165" s="4">
        <v>50</v>
      </c>
      <c r="B165" s="4">
        <v>0</v>
      </c>
      <c r="C165" s="4">
        <v>0</v>
      </c>
      <c r="D165" s="4">
        <v>1</v>
      </c>
      <c r="E165" s="4">
        <v>226</v>
      </c>
      <c r="F165" s="4">
        <f>ROUND(Source!AW159,O165)</f>
        <v>457077.63</v>
      </c>
      <c r="G165" s="4" t="s">
        <v>114</v>
      </c>
      <c r="H165" s="4" t="s">
        <v>115</v>
      </c>
      <c r="I165" s="4"/>
      <c r="J165" s="4"/>
      <c r="K165" s="4">
        <v>226</v>
      </c>
      <c r="L165" s="4">
        <v>5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457077.63</v>
      </c>
      <c r="X165" s="4">
        <v>1</v>
      </c>
      <c r="Y165" s="4">
        <v>457077.63</v>
      </c>
      <c r="Z165" s="4"/>
      <c r="AA165" s="4"/>
      <c r="AB165" s="4"/>
    </row>
    <row r="166" spans="1:28" ht="13" x14ac:dyDescent="0.3">
      <c r="A166" s="4">
        <v>50</v>
      </c>
      <c r="B166" s="4">
        <v>0</v>
      </c>
      <c r="C166" s="4">
        <v>0</v>
      </c>
      <c r="D166" s="4">
        <v>1</v>
      </c>
      <c r="E166" s="4">
        <v>227</v>
      </c>
      <c r="F166" s="4">
        <f>ROUND(Source!AX159,O166)</f>
        <v>0</v>
      </c>
      <c r="G166" s="4" t="s">
        <v>116</v>
      </c>
      <c r="H166" s="4" t="s">
        <v>117</v>
      </c>
      <c r="I166" s="4"/>
      <c r="J166" s="4"/>
      <c r="K166" s="4">
        <v>227</v>
      </c>
      <c r="L166" s="4">
        <v>6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ht="13" x14ac:dyDescent="0.3">
      <c r="A167" s="4">
        <v>50</v>
      </c>
      <c r="B167" s="4">
        <v>0</v>
      </c>
      <c r="C167" s="4">
        <v>0</v>
      </c>
      <c r="D167" s="4">
        <v>1</v>
      </c>
      <c r="E167" s="4">
        <v>228</v>
      </c>
      <c r="F167" s="4">
        <f>ROUND(Source!AY159,O167)</f>
        <v>457077.63</v>
      </c>
      <c r="G167" s="4" t="s">
        <v>118</v>
      </c>
      <c r="H167" s="4" t="s">
        <v>119</v>
      </c>
      <c r="I167" s="4"/>
      <c r="J167" s="4"/>
      <c r="K167" s="4">
        <v>228</v>
      </c>
      <c r="L167" s="4">
        <v>7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457077.63</v>
      </c>
      <c r="X167" s="4">
        <v>1</v>
      </c>
      <c r="Y167" s="4">
        <v>457077.63</v>
      </c>
      <c r="Z167" s="4"/>
      <c r="AA167" s="4"/>
      <c r="AB167" s="4"/>
    </row>
    <row r="168" spans="1:28" ht="13" x14ac:dyDescent="0.3">
      <c r="A168" s="4">
        <v>50</v>
      </c>
      <c r="B168" s="4">
        <v>0</v>
      </c>
      <c r="C168" s="4">
        <v>0</v>
      </c>
      <c r="D168" s="4">
        <v>1</v>
      </c>
      <c r="E168" s="4">
        <v>216</v>
      </c>
      <c r="F168" s="4">
        <f>ROUND(Source!AP159,O168)</f>
        <v>0</v>
      </c>
      <c r="G168" s="4" t="s">
        <v>120</v>
      </c>
      <c r="H168" s="4" t="s">
        <v>121</v>
      </c>
      <c r="I168" s="4"/>
      <c r="J168" s="4"/>
      <c r="K168" s="4">
        <v>216</v>
      </c>
      <c r="L168" s="4">
        <v>8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ht="13" x14ac:dyDescent="0.3">
      <c r="A169" s="4">
        <v>50</v>
      </c>
      <c r="B169" s="4">
        <v>0</v>
      </c>
      <c r="C169" s="4">
        <v>0</v>
      </c>
      <c r="D169" s="4">
        <v>1</v>
      </c>
      <c r="E169" s="4">
        <v>223</v>
      </c>
      <c r="F169" s="4">
        <f>ROUND(Source!AQ159,O169)</f>
        <v>0</v>
      </c>
      <c r="G169" s="4" t="s">
        <v>122</v>
      </c>
      <c r="H169" s="4" t="s">
        <v>123</v>
      </c>
      <c r="I169" s="4"/>
      <c r="J169" s="4"/>
      <c r="K169" s="4">
        <v>223</v>
      </c>
      <c r="L169" s="4">
        <v>9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ht="13" x14ac:dyDescent="0.3">
      <c r="A170" s="4">
        <v>50</v>
      </c>
      <c r="B170" s="4">
        <v>0</v>
      </c>
      <c r="C170" s="4">
        <v>0</v>
      </c>
      <c r="D170" s="4">
        <v>1</v>
      </c>
      <c r="E170" s="4">
        <v>229</v>
      </c>
      <c r="F170" s="4">
        <f>ROUND(Source!AZ159,O170)</f>
        <v>0</v>
      </c>
      <c r="G170" s="4" t="s">
        <v>124</v>
      </c>
      <c r="H170" s="4" t="s">
        <v>125</v>
      </c>
      <c r="I170" s="4"/>
      <c r="J170" s="4"/>
      <c r="K170" s="4">
        <v>229</v>
      </c>
      <c r="L170" s="4">
        <v>10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8" ht="13" x14ac:dyDescent="0.3">
      <c r="A171" s="4">
        <v>50</v>
      </c>
      <c r="B171" s="4">
        <v>0</v>
      </c>
      <c r="C171" s="4">
        <v>0</v>
      </c>
      <c r="D171" s="4">
        <v>1</v>
      </c>
      <c r="E171" s="4">
        <v>203</v>
      </c>
      <c r="F171" s="4">
        <f>ROUND(Source!Q159,O171)</f>
        <v>10400969.210000001</v>
      </c>
      <c r="G171" s="4" t="s">
        <v>126</v>
      </c>
      <c r="H171" s="4" t="s">
        <v>127</v>
      </c>
      <c r="I171" s="4"/>
      <c r="J171" s="4"/>
      <c r="K171" s="4">
        <v>203</v>
      </c>
      <c r="L171" s="4">
        <v>11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10400969.210000001</v>
      </c>
      <c r="X171" s="4">
        <v>1</v>
      </c>
      <c r="Y171" s="4">
        <v>10400969.210000001</v>
      </c>
      <c r="Z171" s="4"/>
      <c r="AA171" s="4"/>
      <c r="AB171" s="4"/>
    </row>
    <row r="172" spans="1:28" ht="13" x14ac:dyDescent="0.3">
      <c r="A172" s="4">
        <v>50</v>
      </c>
      <c r="B172" s="4">
        <v>0</v>
      </c>
      <c r="C172" s="4">
        <v>0</v>
      </c>
      <c r="D172" s="4">
        <v>1</v>
      </c>
      <c r="E172" s="4">
        <v>231</v>
      </c>
      <c r="F172" s="4">
        <f>ROUND(Source!BB159,O172)</f>
        <v>0</v>
      </c>
      <c r="G172" s="4" t="s">
        <v>128</v>
      </c>
      <c r="H172" s="4" t="s">
        <v>129</v>
      </c>
      <c r="I172" s="4"/>
      <c r="J172" s="4"/>
      <c r="K172" s="4">
        <v>231</v>
      </c>
      <c r="L172" s="4">
        <v>12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ht="13" x14ac:dyDescent="0.3">
      <c r="A173" s="4">
        <v>50</v>
      </c>
      <c r="B173" s="4">
        <v>0</v>
      </c>
      <c r="C173" s="4">
        <v>0</v>
      </c>
      <c r="D173" s="4">
        <v>1</v>
      </c>
      <c r="E173" s="4">
        <v>204</v>
      </c>
      <c r="F173" s="4">
        <f>ROUND(Source!R159,O173)</f>
        <v>3493841.24</v>
      </c>
      <c r="G173" s="4" t="s">
        <v>130</v>
      </c>
      <c r="H173" s="4" t="s">
        <v>131</v>
      </c>
      <c r="I173" s="4"/>
      <c r="J173" s="4"/>
      <c r="K173" s="4">
        <v>204</v>
      </c>
      <c r="L173" s="4">
        <v>13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3493841.24</v>
      </c>
      <c r="X173" s="4">
        <v>1</v>
      </c>
      <c r="Y173" s="4">
        <v>3493841.24</v>
      </c>
      <c r="Z173" s="4"/>
      <c r="AA173" s="4"/>
      <c r="AB173" s="4"/>
    </row>
    <row r="174" spans="1:28" ht="13" x14ac:dyDescent="0.3">
      <c r="A174" s="4">
        <v>50</v>
      </c>
      <c r="B174" s="4">
        <v>0</v>
      </c>
      <c r="C174" s="4">
        <v>0</v>
      </c>
      <c r="D174" s="4">
        <v>1</v>
      </c>
      <c r="E174" s="4">
        <v>205</v>
      </c>
      <c r="F174" s="4">
        <f>ROUND(Source!S159,O174)</f>
        <v>16832197.41</v>
      </c>
      <c r="G174" s="4" t="s">
        <v>132</v>
      </c>
      <c r="H174" s="4" t="s">
        <v>133</v>
      </c>
      <c r="I174" s="4"/>
      <c r="J174" s="4"/>
      <c r="K174" s="4">
        <v>205</v>
      </c>
      <c r="L174" s="4">
        <v>14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16832197.41</v>
      </c>
      <c r="X174" s="4">
        <v>1</v>
      </c>
      <c r="Y174" s="4">
        <v>16832197.41</v>
      </c>
      <c r="Z174" s="4"/>
      <c r="AA174" s="4"/>
      <c r="AB174" s="4"/>
    </row>
    <row r="175" spans="1:28" ht="13" x14ac:dyDescent="0.3">
      <c r="A175" s="4">
        <v>50</v>
      </c>
      <c r="B175" s="4">
        <v>0</v>
      </c>
      <c r="C175" s="4">
        <v>0</v>
      </c>
      <c r="D175" s="4">
        <v>1</v>
      </c>
      <c r="E175" s="4">
        <v>232</v>
      </c>
      <c r="F175" s="4">
        <f>ROUND(Source!BC159,O175)</f>
        <v>0</v>
      </c>
      <c r="G175" s="4" t="s">
        <v>134</v>
      </c>
      <c r="H175" s="4" t="s">
        <v>135</v>
      </c>
      <c r="I175" s="4"/>
      <c r="J175" s="4"/>
      <c r="K175" s="4">
        <v>232</v>
      </c>
      <c r="L175" s="4">
        <v>15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8" ht="13" x14ac:dyDescent="0.3">
      <c r="A176" s="4">
        <v>50</v>
      </c>
      <c r="B176" s="4">
        <v>0</v>
      </c>
      <c r="C176" s="4">
        <v>0</v>
      </c>
      <c r="D176" s="4">
        <v>1</v>
      </c>
      <c r="E176" s="4">
        <v>214</v>
      </c>
      <c r="F176" s="4">
        <f>ROUND(Source!AS159,O176)</f>
        <v>0</v>
      </c>
      <c r="G176" s="4" t="s">
        <v>136</v>
      </c>
      <c r="H176" s="4" t="s">
        <v>137</v>
      </c>
      <c r="I176" s="4"/>
      <c r="J176" s="4"/>
      <c r="K176" s="4">
        <v>214</v>
      </c>
      <c r="L176" s="4">
        <v>16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06" ht="13" x14ac:dyDescent="0.3">
      <c r="A177" s="4">
        <v>50</v>
      </c>
      <c r="B177" s="4">
        <v>0</v>
      </c>
      <c r="C177" s="4">
        <v>0</v>
      </c>
      <c r="D177" s="4">
        <v>1</v>
      </c>
      <c r="E177" s="4">
        <v>215</v>
      </c>
      <c r="F177" s="4">
        <f>ROUND(Source!AT159,O177)</f>
        <v>0</v>
      </c>
      <c r="G177" s="4" t="s">
        <v>138</v>
      </c>
      <c r="H177" s="4" t="s">
        <v>139</v>
      </c>
      <c r="I177" s="4"/>
      <c r="J177" s="4"/>
      <c r="K177" s="4">
        <v>215</v>
      </c>
      <c r="L177" s="4">
        <v>17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06" ht="13" x14ac:dyDescent="0.3">
      <c r="A178" s="4">
        <v>50</v>
      </c>
      <c r="B178" s="4">
        <v>0</v>
      </c>
      <c r="C178" s="4">
        <v>0</v>
      </c>
      <c r="D178" s="4">
        <v>1</v>
      </c>
      <c r="E178" s="4">
        <v>217</v>
      </c>
      <c r="F178" s="4">
        <f>ROUND(Source!AU159,O178)</f>
        <v>44929350.710000001</v>
      </c>
      <c r="G178" s="4" t="s">
        <v>140</v>
      </c>
      <c r="H178" s="4" t="s">
        <v>141</v>
      </c>
      <c r="I178" s="4"/>
      <c r="J178" s="4"/>
      <c r="K178" s="4">
        <v>217</v>
      </c>
      <c r="L178" s="4">
        <v>18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44929350.710000001</v>
      </c>
      <c r="X178" s="4">
        <v>1</v>
      </c>
      <c r="Y178" s="4">
        <v>44929350.710000001</v>
      </c>
      <c r="Z178" s="4"/>
      <c r="AA178" s="4"/>
      <c r="AB178" s="4"/>
    </row>
    <row r="179" spans="1:206" ht="13" x14ac:dyDescent="0.3">
      <c r="A179" s="4">
        <v>50</v>
      </c>
      <c r="B179" s="4">
        <v>0</v>
      </c>
      <c r="C179" s="4">
        <v>0</v>
      </c>
      <c r="D179" s="4">
        <v>1</v>
      </c>
      <c r="E179" s="4">
        <v>230</v>
      </c>
      <c r="F179" s="4">
        <f>ROUND(Source!BA159,O179)</f>
        <v>0</v>
      </c>
      <c r="G179" s="4" t="s">
        <v>142</v>
      </c>
      <c r="H179" s="4" t="s">
        <v>143</v>
      </c>
      <c r="I179" s="4"/>
      <c r="J179" s="4"/>
      <c r="K179" s="4">
        <v>230</v>
      </c>
      <c r="L179" s="4">
        <v>19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06" ht="13" x14ac:dyDescent="0.3">
      <c r="A180" s="4">
        <v>50</v>
      </c>
      <c r="B180" s="4">
        <v>0</v>
      </c>
      <c r="C180" s="4">
        <v>0</v>
      </c>
      <c r="D180" s="4">
        <v>1</v>
      </c>
      <c r="E180" s="4">
        <v>206</v>
      </c>
      <c r="F180" s="4">
        <f>ROUND(Source!T159,O180)</f>
        <v>0</v>
      </c>
      <c r="G180" s="4" t="s">
        <v>144</v>
      </c>
      <c r="H180" s="4" t="s">
        <v>145</v>
      </c>
      <c r="I180" s="4"/>
      <c r="J180" s="4"/>
      <c r="K180" s="4">
        <v>206</v>
      </c>
      <c r="L180" s="4">
        <v>20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06" ht="13" x14ac:dyDescent="0.3">
      <c r="A181" s="4">
        <v>50</v>
      </c>
      <c r="B181" s="4">
        <v>0</v>
      </c>
      <c r="C181" s="4">
        <v>0</v>
      </c>
      <c r="D181" s="4">
        <v>1</v>
      </c>
      <c r="E181" s="4">
        <v>207</v>
      </c>
      <c r="F181" s="4">
        <f>Source!U159</f>
        <v>36968.757519999999</v>
      </c>
      <c r="G181" s="4" t="s">
        <v>146</v>
      </c>
      <c r="H181" s="4" t="s">
        <v>147</v>
      </c>
      <c r="I181" s="4"/>
      <c r="J181" s="4"/>
      <c r="K181" s="4">
        <v>207</v>
      </c>
      <c r="L181" s="4">
        <v>21</v>
      </c>
      <c r="M181" s="4">
        <v>3</v>
      </c>
      <c r="N181" s="4" t="s">
        <v>3</v>
      </c>
      <c r="O181" s="4">
        <v>-1</v>
      </c>
      <c r="P181" s="4"/>
      <c r="Q181" s="4"/>
      <c r="R181" s="4"/>
      <c r="S181" s="4"/>
      <c r="T181" s="4"/>
      <c r="U181" s="4"/>
      <c r="V181" s="4"/>
      <c r="W181" s="4">
        <v>36968.757519999999</v>
      </c>
      <c r="X181" s="4">
        <v>1</v>
      </c>
      <c r="Y181" s="4">
        <v>36968.757519999999</v>
      </c>
      <c r="Z181" s="4"/>
      <c r="AA181" s="4"/>
      <c r="AB181" s="4"/>
    </row>
    <row r="182" spans="1:206" ht="13" x14ac:dyDescent="0.3">
      <c r="A182" s="4">
        <v>50</v>
      </c>
      <c r="B182" s="4">
        <v>0</v>
      </c>
      <c r="C182" s="4">
        <v>0</v>
      </c>
      <c r="D182" s="4">
        <v>1</v>
      </c>
      <c r="E182" s="4">
        <v>208</v>
      </c>
      <c r="F182" s="4">
        <f>Source!V159</f>
        <v>0</v>
      </c>
      <c r="G182" s="4" t="s">
        <v>148</v>
      </c>
      <c r="H182" s="4" t="s">
        <v>149</v>
      </c>
      <c r="I182" s="4"/>
      <c r="J182" s="4"/>
      <c r="K182" s="4">
        <v>208</v>
      </c>
      <c r="L182" s="4">
        <v>22</v>
      </c>
      <c r="M182" s="4">
        <v>3</v>
      </c>
      <c r="N182" s="4" t="s">
        <v>3</v>
      </c>
      <c r="O182" s="4">
        <v>-1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06" ht="13" x14ac:dyDescent="0.3">
      <c r="A183" s="4">
        <v>50</v>
      </c>
      <c r="B183" s="4">
        <v>0</v>
      </c>
      <c r="C183" s="4">
        <v>0</v>
      </c>
      <c r="D183" s="4">
        <v>1</v>
      </c>
      <c r="E183" s="4">
        <v>209</v>
      </c>
      <c r="F183" s="4">
        <f>ROUND(Source!W159,O183)</f>
        <v>0</v>
      </c>
      <c r="G183" s="4" t="s">
        <v>150</v>
      </c>
      <c r="H183" s="4" t="s">
        <v>151</v>
      </c>
      <c r="I183" s="4"/>
      <c r="J183" s="4"/>
      <c r="K183" s="4">
        <v>209</v>
      </c>
      <c r="L183" s="4">
        <v>23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06" ht="13" x14ac:dyDescent="0.3">
      <c r="A184" s="4">
        <v>50</v>
      </c>
      <c r="B184" s="4">
        <v>0</v>
      </c>
      <c r="C184" s="4">
        <v>0</v>
      </c>
      <c r="D184" s="4">
        <v>1</v>
      </c>
      <c r="E184" s="4">
        <v>233</v>
      </c>
      <c r="F184" s="4">
        <f>ROUND(Source!BD159,O184)</f>
        <v>0</v>
      </c>
      <c r="G184" s="4" t="s">
        <v>152</v>
      </c>
      <c r="H184" s="4" t="s">
        <v>153</v>
      </c>
      <c r="I184" s="4"/>
      <c r="J184" s="4"/>
      <c r="K184" s="4">
        <v>233</v>
      </c>
      <c r="L184" s="4">
        <v>24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06" ht="13" x14ac:dyDescent="0.3">
      <c r="A185" s="4">
        <v>50</v>
      </c>
      <c r="B185" s="4">
        <v>0</v>
      </c>
      <c r="C185" s="4">
        <v>0</v>
      </c>
      <c r="D185" s="4">
        <v>1</v>
      </c>
      <c r="E185" s="4">
        <v>210</v>
      </c>
      <c r="F185" s="4">
        <f>ROUND(Source!X159,O185)</f>
        <v>11782538.189999999</v>
      </c>
      <c r="G185" s="4" t="s">
        <v>154</v>
      </c>
      <c r="H185" s="4" t="s">
        <v>155</v>
      </c>
      <c r="I185" s="4"/>
      <c r="J185" s="4"/>
      <c r="K185" s="4">
        <v>210</v>
      </c>
      <c r="L185" s="4">
        <v>25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11782538.189999999</v>
      </c>
      <c r="X185" s="4">
        <v>1</v>
      </c>
      <c r="Y185" s="4">
        <v>11782538.189999999</v>
      </c>
      <c r="Z185" s="4"/>
      <c r="AA185" s="4"/>
      <c r="AB185" s="4"/>
    </row>
    <row r="186" spans="1:206" ht="13" x14ac:dyDescent="0.3">
      <c r="A186" s="4">
        <v>50</v>
      </c>
      <c r="B186" s="4">
        <v>0</v>
      </c>
      <c r="C186" s="4">
        <v>0</v>
      </c>
      <c r="D186" s="4">
        <v>1</v>
      </c>
      <c r="E186" s="4">
        <v>211</v>
      </c>
      <c r="F186" s="4">
        <f>ROUND(Source!Y159,O186)</f>
        <v>1683219.73</v>
      </c>
      <c r="G186" s="4" t="s">
        <v>156</v>
      </c>
      <c r="H186" s="4" t="s">
        <v>157</v>
      </c>
      <c r="I186" s="4"/>
      <c r="J186" s="4"/>
      <c r="K186" s="4">
        <v>211</v>
      </c>
      <c r="L186" s="4">
        <v>26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1683219.73</v>
      </c>
      <c r="X186" s="4">
        <v>1</v>
      </c>
      <c r="Y186" s="4">
        <v>1683219.73</v>
      </c>
      <c r="Z186" s="4"/>
      <c r="AA186" s="4"/>
      <c r="AB186" s="4"/>
    </row>
    <row r="187" spans="1:206" ht="13" x14ac:dyDescent="0.3">
      <c r="A187" s="4">
        <v>50</v>
      </c>
      <c r="B187" s="4">
        <v>0</v>
      </c>
      <c r="C187" s="4">
        <v>0</v>
      </c>
      <c r="D187" s="4">
        <v>1</v>
      </c>
      <c r="E187" s="4">
        <v>224</v>
      </c>
      <c r="F187" s="4">
        <f>ROUND(Source!AR159,O187)</f>
        <v>44929350.710000001</v>
      </c>
      <c r="G187" s="4" t="s">
        <v>158</v>
      </c>
      <c r="H187" s="4" t="s">
        <v>159</v>
      </c>
      <c r="I187" s="4"/>
      <c r="J187" s="4"/>
      <c r="K187" s="4">
        <v>224</v>
      </c>
      <c r="L187" s="4">
        <v>27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44929350.710000001</v>
      </c>
      <c r="X187" s="4">
        <v>1</v>
      </c>
      <c r="Y187" s="4">
        <v>44929350.710000001</v>
      </c>
      <c r="Z187" s="4"/>
      <c r="AA187" s="4"/>
      <c r="AB187" s="4"/>
    </row>
    <row r="189" spans="1:206" ht="13" x14ac:dyDescent="0.3">
      <c r="A189" s="2">
        <v>51</v>
      </c>
      <c r="B189" s="2">
        <f>B24</f>
        <v>1</v>
      </c>
      <c r="C189" s="2">
        <f>A24</f>
        <v>4</v>
      </c>
      <c r="D189" s="2">
        <f>ROW(A24)</f>
        <v>24</v>
      </c>
      <c r="E189" s="2"/>
      <c r="F189" s="2" t="str">
        <f>IF(F24&lt;&gt;"",F24,"")</f>
        <v>Новый раздел</v>
      </c>
      <c r="G189" s="2" t="str">
        <f>IF(G24&lt;&gt;"",G24,"")</f>
        <v>Раздел: Основная зона</v>
      </c>
      <c r="H189" s="2">
        <v>0</v>
      </c>
      <c r="I189" s="2"/>
      <c r="J189" s="2"/>
      <c r="K189" s="2"/>
      <c r="L189" s="2"/>
      <c r="M189" s="2"/>
      <c r="N189" s="2"/>
      <c r="O189" s="2">
        <f t="shared" ref="O189:T189" si="154">ROUND(O52+O105+O159+AB189,2)</f>
        <v>115061950.14</v>
      </c>
      <c r="P189" s="2">
        <f t="shared" si="154"/>
        <v>11271375.4</v>
      </c>
      <c r="Q189" s="2">
        <f t="shared" si="154"/>
        <v>63570006.670000002</v>
      </c>
      <c r="R189" s="2">
        <f t="shared" si="154"/>
        <v>27941466.399999999</v>
      </c>
      <c r="S189" s="2">
        <f t="shared" si="154"/>
        <v>40220568.07</v>
      </c>
      <c r="T189" s="2">
        <f t="shared" si="154"/>
        <v>0</v>
      </c>
      <c r="U189" s="2">
        <f>U52+U105+U159+AH189</f>
        <v>89022.805405999999</v>
      </c>
      <c r="V189" s="2">
        <f>V52+V105+V159+AI189</f>
        <v>0</v>
      </c>
      <c r="W189" s="2">
        <f>ROUND(W52+W105+W159+AJ189,2)</f>
        <v>0</v>
      </c>
      <c r="X189" s="2">
        <f>ROUND(X52+X105+X159+AK189,2)</f>
        <v>28154397.670000002</v>
      </c>
      <c r="Y189" s="2">
        <f>ROUND(Y52+Y105+Y159+AL189,2)</f>
        <v>4022056.82</v>
      </c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>
        <f t="shared" ref="AO189:BD189" si="155">ROUND(AO52+AO105+AO159+BX189,2)</f>
        <v>0</v>
      </c>
      <c r="AP189" s="2">
        <f t="shared" si="155"/>
        <v>0</v>
      </c>
      <c r="AQ189" s="2">
        <f t="shared" si="155"/>
        <v>0</v>
      </c>
      <c r="AR189" s="2">
        <f t="shared" si="155"/>
        <v>177415188.34999999</v>
      </c>
      <c r="AS189" s="2">
        <f t="shared" si="155"/>
        <v>0</v>
      </c>
      <c r="AT189" s="2">
        <f t="shared" si="155"/>
        <v>0</v>
      </c>
      <c r="AU189" s="2">
        <f t="shared" si="155"/>
        <v>177415188.34999999</v>
      </c>
      <c r="AV189" s="2">
        <f t="shared" si="155"/>
        <v>11271375.4</v>
      </c>
      <c r="AW189" s="2">
        <f t="shared" si="155"/>
        <v>11271375.4</v>
      </c>
      <c r="AX189" s="2">
        <f t="shared" si="155"/>
        <v>0</v>
      </c>
      <c r="AY189" s="2">
        <f t="shared" si="155"/>
        <v>11271375.4</v>
      </c>
      <c r="AZ189" s="2">
        <f t="shared" si="155"/>
        <v>0</v>
      </c>
      <c r="BA189" s="2">
        <f t="shared" si="155"/>
        <v>0</v>
      </c>
      <c r="BB189" s="2">
        <f t="shared" si="155"/>
        <v>0</v>
      </c>
      <c r="BC189" s="2">
        <f t="shared" si="155"/>
        <v>0</v>
      </c>
      <c r="BD189" s="2">
        <f t="shared" si="155"/>
        <v>0</v>
      </c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3"/>
      <c r="DH189" s="3"/>
      <c r="DI189" s="3"/>
      <c r="DJ189" s="3"/>
      <c r="DK189" s="3"/>
      <c r="DL189" s="3"/>
      <c r="DM189" s="3"/>
      <c r="DN189" s="3"/>
      <c r="DO189" s="3"/>
      <c r="DP189" s="3"/>
      <c r="DQ189" s="3"/>
      <c r="DR189" s="3"/>
      <c r="DS189" s="3"/>
      <c r="DT189" s="3"/>
      <c r="DU189" s="3"/>
      <c r="DV189" s="3"/>
      <c r="DW189" s="3"/>
      <c r="DX189" s="3"/>
      <c r="DY189" s="3"/>
      <c r="DZ189" s="3"/>
      <c r="EA189" s="3"/>
      <c r="EB189" s="3"/>
      <c r="EC189" s="3"/>
      <c r="ED189" s="3"/>
      <c r="EE189" s="3"/>
      <c r="EF189" s="3"/>
      <c r="EG189" s="3"/>
      <c r="EH189" s="3"/>
      <c r="EI189" s="3"/>
      <c r="EJ189" s="3"/>
      <c r="EK189" s="3"/>
      <c r="EL189" s="3"/>
      <c r="EM189" s="3"/>
      <c r="EN189" s="3"/>
      <c r="EO189" s="3"/>
      <c r="EP189" s="3"/>
      <c r="EQ189" s="3"/>
      <c r="ER189" s="3"/>
      <c r="ES189" s="3"/>
      <c r="ET189" s="3"/>
      <c r="EU189" s="3"/>
      <c r="EV189" s="3"/>
      <c r="EW189" s="3"/>
      <c r="EX189" s="3"/>
      <c r="EY189" s="3"/>
      <c r="EZ189" s="3"/>
      <c r="FA189" s="3"/>
      <c r="FB189" s="3"/>
      <c r="FC189" s="3"/>
      <c r="FD189" s="3"/>
      <c r="FE189" s="3"/>
      <c r="FF189" s="3"/>
      <c r="FG189" s="3"/>
      <c r="FH189" s="3"/>
      <c r="FI189" s="3"/>
      <c r="FJ189" s="3"/>
      <c r="FK189" s="3"/>
      <c r="FL189" s="3"/>
      <c r="FM189" s="3"/>
      <c r="FN189" s="3"/>
      <c r="FO189" s="3"/>
      <c r="FP189" s="3"/>
      <c r="FQ189" s="3"/>
      <c r="FR189" s="3"/>
      <c r="FS189" s="3"/>
      <c r="FT189" s="3"/>
      <c r="FU189" s="3"/>
      <c r="FV189" s="3"/>
      <c r="FW189" s="3"/>
      <c r="FX189" s="3"/>
      <c r="FY189" s="3"/>
      <c r="FZ189" s="3"/>
      <c r="GA189" s="3"/>
      <c r="GB189" s="3"/>
      <c r="GC189" s="3"/>
      <c r="GD189" s="3"/>
      <c r="GE189" s="3"/>
      <c r="GF189" s="3"/>
      <c r="GG189" s="3"/>
      <c r="GH189" s="3"/>
      <c r="GI189" s="3"/>
      <c r="GJ189" s="3"/>
      <c r="GK189" s="3"/>
      <c r="GL189" s="3"/>
      <c r="GM189" s="3"/>
      <c r="GN189" s="3"/>
      <c r="GO189" s="3"/>
      <c r="GP189" s="3"/>
      <c r="GQ189" s="3"/>
      <c r="GR189" s="3"/>
      <c r="GS189" s="3"/>
      <c r="GT189" s="3"/>
      <c r="GU189" s="3"/>
      <c r="GV189" s="3"/>
      <c r="GW189" s="3"/>
      <c r="GX189" s="3">
        <v>0</v>
      </c>
    </row>
    <row r="191" spans="1:206" ht="13" x14ac:dyDescent="0.3">
      <c r="A191" s="4">
        <v>50</v>
      </c>
      <c r="B191" s="4">
        <v>0</v>
      </c>
      <c r="C191" s="4">
        <v>0</v>
      </c>
      <c r="D191" s="4">
        <v>1</v>
      </c>
      <c r="E191" s="4">
        <v>201</v>
      </c>
      <c r="F191" s="4">
        <f>ROUND(Source!O189,O191)</f>
        <v>115061950.14</v>
      </c>
      <c r="G191" s="4" t="s">
        <v>106</v>
      </c>
      <c r="H191" s="4" t="s">
        <v>107</v>
      </c>
      <c r="I191" s="4"/>
      <c r="J191" s="4"/>
      <c r="K191" s="4">
        <v>201</v>
      </c>
      <c r="L191" s="4">
        <v>1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115061950.14</v>
      </c>
      <c r="X191" s="4">
        <v>1</v>
      </c>
      <c r="Y191" s="4">
        <v>115061950.14</v>
      </c>
      <c r="Z191" s="4"/>
      <c r="AA191" s="4"/>
      <c r="AB191" s="4"/>
    </row>
    <row r="192" spans="1:206" ht="13" x14ac:dyDescent="0.3">
      <c r="A192" s="4">
        <v>50</v>
      </c>
      <c r="B192" s="4">
        <v>0</v>
      </c>
      <c r="C192" s="4">
        <v>0</v>
      </c>
      <c r="D192" s="4">
        <v>1</v>
      </c>
      <c r="E192" s="4">
        <v>202</v>
      </c>
      <c r="F192" s="4">
        <f>ROUND(Source!P189,O192)</f>
        <v>11271375.4</v>
      </c>
      <c r="G192" s="4" t="s">
        <v>108</v>
      </c>
      <c r="H192" s="4" t="s">
        <v>109</v>
      </c>
      <c r="I192" s="4"/>
      <c r="J192" s="4"/>
      <c r="K192" s="4">
        <v>202</v>
      </c>
      <c r="L192" s="4">
        <v>2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11271375.4</v>
      </c>
      <c r="X192" s="4">
        <v>1</v>
      </c>
      <c r="Y192" s="4">
        <v>11271375.4</v>
      </c>
      <c r="Z192" s="4"/>
      <c r="AA192" s="4"/>
      <c r="AB192" s="4"/>
    </row>
    <row r="193" spans="1:28" ht="13" x14ac:dyDescent="0.3">
      <c r="A193" s="4">
        <v>50</v>
      </c>
      <c r="B193" s="4">
        <v>0</v>
      </c>
      <c r="C193" s="4">
        <v>0</v>
      </c>
      <c r="D193" s="4">
        <v>1</v>
      </c>
      <c r="E193" s="4">
        <v>222</v>
      </c>
      <c r="F193" s="4">
        <f>ROUND(Source!AO189,O193)</f>
        <v>0</v>
      </c>
      <c r="G193" s="4" t="s">
        <v>110</v>
      </c>
      <c r="H193" s="4" t="s">
        <v>111</v>
      </c>
      <c r="I193" s="4"/>
      <c r="J193" s="4"/>
      <c r="K193" s="4">
        <v>222</v>
      </c>
      <c r="L193" s="4">
        <v>3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8" ht="13" x14ac:dyDescent="0.3">
      <c r="A194" s="4">
        <v>50</v>
      </c>
      <c r="B194" s="4">
        <v>0</v>
      </c>
      <c r="C194" s="4">
        <v>0</v>
      </c>
      <c r="D194" s="4">
        <v>1</v>
      </c>
      <c r="E194" s="4">
        <v>225</v>
      </c>
      <c r="F194" s="4">
        <f>ROUND(Source!AV189,O194)</f>
        <v>11271375.4</v>
      </c>
      <c r="G194" s="4" t="s">
        <v>112</v>
      </c>
      <c r="H194" s="4" t="s">
        <v>113</v>
      </c>
      <c r="I194" s="4"/>
      <c r="J194" s="4"/>
      <c r="K194" s="4">
        <v>225</v>
      </c>
      <c r="L194" s="4">
        <v>4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11271375.4</v>
      </c>
      <c r="X194" s="4">
        <v>1</v>
      </c>
      <c r="Y194" s="4">
        <v>11271375.4</v>
      </c>
      <c r="Z194" s="4"/>
      <c r="AA194" s="4"/>
      <c r="AB194" s="4"/>
    </row>
    <row r="195" spans="1:28" ht="13" x14ac:dyDescent="0.3">
      <c r="A195" s="4">
        <v>50</v>
      </c>
      <c r="B195" s="4">
        <v>0</v>
      </c>
      <c r="C195" s="4">
        <v>0</v>
      </c>
      <c r="D195" s="4">
        <v>1</v>
      </c>
      <c r="E195" s="4">
        <v>226</v>
      </c>
      <c r="F195" s="4">
        <f>ROUND(Source!AW189,O195)</f>
        <v>11271375.4</v>
      </c>
      <c r="G195" s="4" t="s">
        <v>114</v>
      </c>
      <c r="H195" s="4" t="s">
        <v>115</v>
      </c>
      <c r="I195" s="4"/>
      <c r="J195" s="4"/>
      <c r="K195" s="4">
        <v>226</v>
      </c>
      <c r="L195" s="4">
        <v>5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11271375.4</v>
      </c>
      <c r="X195" s="4">
        <v>1</v>
      </c>
      <c r="Y195" s="4">
        <v>11271375.4</v>
      </c>
      <c r="Z195" s="4"/>
      <c r="AA195" s="4"/>
      <c r="AB195" s="4"/>
    </row>
    <row r="196" spans="1:28" ht="13" x14ac:dyDescent="0.3">
      <c r="A196" s="4">
        <v>50</v>
      </c>
      <c r="B196" s="4">
        <v>0</v>
      </c>
      <c r="C196" s="4">
        <v>0</v>
      </c>
      <c r="D196" s="4">
        <v>1</v>
      </c>
      <c r="E196" s="4">
        <v>227</v>
      </c>
      <c r="F196" s="4">
        <f>ROUND(Source!AX189,O196)</f>
        <v>0</v>
      </c>
      <c r="G196" s="4" t="s">
        <v>116</v>
      </c>
      <c r="H196" s="4" t="s">
        <v>117</v>
      </c>
      <c r="I196" s="4"/>
      <c r="J196" s="4"/>
      <c r="K196" s="4">
        <v>227</v>
      </c>
      <c r="L196" s="4">
        <v>6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ht="13" x14ac:dyDescent="0.3">
      <c r="A197" s="4">
        <v>50</v>
      </c>
      <c r="B197" s="4">
        <v>0</v>
      </c>
      <c r="C197" s="4">
        <v>0</v>
      </c>
      <c r="D197" s="4">
        <v>1</v>
      </c>
      <c r="E197" s="4">
        <v>228</v>
      </c>
      <c r="F197" s="4">
        <f>ROUND(Source!AY189,O197)</f>
        <v>11271375.4</v>
      </c>
      <c r="G197" s="4" t="s">
        <v>118</v>
      </c>
      <c r="H197" s="4" t="s">
        <v>119</v>
      </c>
      <c r="I197" s="4"/>
      <c r="J197" s="4"/>
      <c r="K197" s="4">
        <v>228</v>
      </c>
      <c r="L197" s="4">
        <v>7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11271375.4</v>
      </c>
      <c r="X197" s="4">
        <v>1</v>
      </c>
      <c r="Y197" s="4">
        <v>11271375.4</v>
      </c>
      <c r="Z197" s="4"/>
      <c r="AA197" s="4"/>
      <c r="AB197" s="4"/>
    </row>
    <row r="198" spans="1:28" ht="13" x14ac:dyDescent="0.3">
      <c r="A198" s="4">
        <v>50</v>
      </c>
      <c r="B198" s="4">
        <v>0</v>
      </c>
      <c r="C198" s="4">
        <v>0</v>
      </c>
      <c r="D198" s="4">
        <v>1</v>
      </c>
      <c r="E198" s="4">
        <v>216</v>
      </c>
      <c r="F198" s="4">
        <f>ROUND(Source!AP189,O198)</f>
        <v>0</v>
      </c>
      <c r="G198" s="4" t="s">
        <v>120</v>
      </c>
      <c r="H198" s="4" t="s">
        <v>121</v>
      </c>
      <c r="I198" s="4"/>
      <c r="J198" s="4"/>
      <c r="K198" s="4">
        <v>216</v>
      </c>
      <c r="L198" s="4">
        <v>8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8" ht="13" x14ac:dyDescent="0.3">
      <c r="A199" s="4">
        <v>50</v>
      </c>
      <c r="B199" s="4">
        <v>0</v>
      </c>
      <c r="C199" s="4">
        <v>0</v>
      </c>
      <c r="D199" s="4">
        <v>1</v>
      </c>
      <c r="E199" s="4">
        <v>223</v>
      </c>
      <c r="F199" s="4">
        <f>ROUND(Source!AQ189,O199)</f>
        <v>0</v>
      </c>
      <c r="G199" s="4" t="s">
        <v>122</v>
      </c>
      <c r="H199" s="4" t="s">
        <v>123</v>
      </c>
      <c r="I199" s="4"/>
      <c r="J199" s="4"/>
      <c r="K199" s="4">
        <v>223</v>
      </c>
      <c r="L199" s="4">
        <v>9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ht="13" x14ac:dyDescent="0.3">
      <c r="A200" s="4">
        <v>50</v>
      </c>
      <c r="B200" s="4">
        <v>0</v>
      </c>
      <c r="C200" s="4">
        <v>0</v>
      </c>
      <c r="D200" s="4">
        <v>1</v>
      </c>
      <c r="E200" s="4">
        <v>229</v>
      </c>
      <c r="F200" s="4">
        <f>ROUND(Source!AZ189,O200)</f>
        <v>0</v>
      </c>
      <c r="G200" s="4" t="s">
        <v>124</v>
      </c>
      <c r="H200" s="4" t="s">
        <v>125</v>
      </c>
      <c r="I200" s="4"/>
      <c r="J200" s="4"/>
      <c r="K200" s="4">
        <v>229</v>
      </c>
      <c r="L200" s="4">
        <v>10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ht="13" x14ac:dyDescent="0.3">
      <c r="A201" s="4">
        <v>50</v>
      </c>
      <c r="B201" s="4">
        <v>0</v>
      </c>
      <c r="C201" s="4">
        <v>0</v>
      </c>
      <c r="D201" s="4">
        <v>1</v>
      </c>
      <c r="E201" s="4">
        <v>203</v>
      </c>
      <c r="F201" s="4">
        <f>ROUND(Source!Q189,O201)</f>
        <v>63570006.670000002</v>
      </c>
      <c r="G201" s="4" t="s">
        <v>126</v>
      </c>
      <c r="H201" s="4" t="s">
        <v>127</v>
      </c>
      <c r="I201" s="4"/>
      <c r="J201" s="4"/>
      <c r="K201" s="4">
        <v>203</v>
      </c>
      <c r="L201" s="4">
        <v>11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63570006.670000002</v>
      </c>
      <c r="X201" s="4">
        <v>1</v>
      </c>
      <c r="Y201" s="4">
        <v>63570006.670000002</v>
      </c>
      <c r="Z201" s="4"/>
      <c r="AA201" s="4"/>
      <c r="AB201" s="4"/>
    </row>
    <row r="202" spans="1:28" ht="13" x14ac:dyDescent="0.3">
      <c r="A202" s="4">
        <v>50</v>
      </c>
      <c r="B202" s="4">
        <v>0</v>
      </c>
      <c r="C202" s="4">
        <v>0</v>
      </c>
      <c r="D202" s="4">
        <v>1</v>
      </c>
      <c r="E202" s="4">
        <v>231</v>
      </c>
      <c r="F202" s="4">
        <f>ROUND(Source!BB189,O202)</f>
        <v>0</v>
      </c>
      <c r="G202" s="4" t="s">
        <v>128</v>
      </c>
      <c r="H202" s="4" t="s">
        <v>129</v>
      </c>
      <c r="I202" s="4"/>
      <c r="J202" s="4"/>
      <c r="K202" s="4">
        <v>231</v>
      </c>
      <c r="L202" s="4">
        <v>12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ht="13" x14ac:dyDescent="0.3">
      <c r="A203" s="4">
        <v>50</v>
      </c>
      <c r="B203" s="4">
        <v>0</v>
      </c>
      <c r="C203" s="4">
        <v>0</v>
      </c>
      <c r="D203" s="4">
        <v>1</v>
      </c>
      <c r="E203" s="4">
        <v>204</v>
      </c>
      <c r="F203" s="4">
        <f>ROUND(Source!R189,O203)</f>
        <v>27941466.399999999</v>
      </c>
      <c r="G203" s="4" t="s">
        <v>130</v>
      </c>
      <c r="H203" s="4" t="s">
        <v>131</v>
      </c>
      <c r="I203" s="4"/>
      <c r="J203" s="4"/>
      <c r="K203" s="4">
        <v>204</v>
      </c>
      <c r="L203" s="4">
        <v>13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27941466.399999999</v>
      </c>
      <c r="X203" s="4">
        <v>1</v>
      </c>
      <c r="Y203" s="4">
        <v>27941466.399999999</v>
      </c>
      <c r="Z203" s="4"/>
      <c r="AA203" s="4"/>
      <c r="AB203" s="4"/>
    </row>
    <row r="204" spans="1:28" ht="13" x14ac:dyDescent="0.3">
      <c r="A204" s="4">
        <v>50</v>
      </c>
      <c r="B204" s="4">
        <v>0</v>
      </c>
      <c r="C204" s="4">
        <v>0</v>
      </c>
      <c r="D204" s="4">
        <v>1</v>
      </c>
      <c r="E204" s="4">
        <v>205</v>
      </c>
      <c r="F204" s="4">
        <f>ROUND(Source!S189,O204)</f>
        <v>40220568.07</v>
      </c>
      <c r="G204" s="4" t="s">
        <v>132</v>
      </c>
      <c r="H204" s="4" t="s">
        <v>133</v>
      </c>
      <c r="I204" s="4"/>
      <c r="J204" s="4"/>
      <c r="K204" s="4">
        <v>205</v>
      </c>
      <c r="L204" s="4">
        <v>14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40220568.07</v>
      </c>
      <c r="X204" s="4">
        <v>1</v>
      </c>
      <c r="Y204" s="4">
        <v>40220568.07</v>
      </c>
      <c r="Z204" s="4"/>
      <c r="AA204" s="4"/>
      <c r="AB204" s="4"/>
    </row>
    <row r="205" spans="1:28" ht="13" x14ac:dyDescent="0.3">
      <c r="A205" s="4">
        <v>50</v>
      </c>
      <c r="B205" s="4">
        <v>0</v>
      </c>
      <c r="C205" s="4">
        <v>0</v>
      </c>
      <c r="D205" s="4">
        <v>1</v>
      </c>
      <c r="E205" s="4">
        <v>232</v>
      </c>
      <c r="F205" s="4">
        <f>ROUND(Source!BC189,O205)</f>
        <v>0</v>
      </c>
      <c r="G205" s="4" t="s">
        <v>134</v>
      </c>
      <c r="H205" s="4" t="s">
        <v>135</v>
      </c>
      <c r="I205" s="4"/>
      <c r="J205" s="4"/>
      <c r="K205" s="4">
        <v>232</v>
      </c>
      <c r="L205" s="4">
        <v>15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ht="13" x14ac:dyDescent="0.3">
      <c r="A206" s="4">
        <v>50</v>
      </c>
      <c r="B206" s="4">
        <v>0</v>
      </c>
      <c r="C206" s="4">
        <v>0</v>
      </c>
      <c r="D206" s="4">
        <v>1</v>
      </c>
      <c r="E206" s="4">
        <v>214</v>
      </c>
      <c r="F206" s="4">
        <f>ROUND(Source!AS189,O206)</f>
        <v>0</v>
      </c>
      <c r="G206" s="4" t="s">
        <v>136</v>
      </c>
      <c r="H206" s="4" t="s">
        <v>137</v>
      </c>
      <c r="I206" s="4"/>
      <c r="J206" s="4"/>
      <c r="K206" s="4">
        <v>214</v>
      </c>
      <c r="L206" s="4">
        <v>16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ht="13" x14ac:dyDescent="0.3">
      <c r="A207" s="4">
        <v>50</v>
      </c>
      <c r="B207" s="4">
        <v>0</v>
      </c>
      <c r="C207" s="4">
        <v>0</v>
      </c>
      <c r="D207" s="4">
        <v>1</v>
      </c>
      <c r="E207" s="4">
        <v>215</v>
      </c>
      <c r="F207" s="4">
        <f>ROUND(Source!AT189,O207)</f>
        <v>0</v>
      </c>
      <c r="G207" s="4" t="s">
        <v>138</v>
      </c>
      <c r="H207" s="4" t="s">
        <v>139</v>
      </c>
      <c r="I207" s="4"/>
      <c r="J207" s="4"/>
      <c r="K207" s="4">
        <v>215</v>
      </c>
      <c r="L207" s="4">
        <v>17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8" ht="13" x14ac:dyDescent="0.3">
      <c r="A208" s="4">
        <v>50</v>
      </c>
      <c r="B208" s="4">
        <v>0</v>
      </c>
      <c r="C208" s="4">
        <v>0</v>
      </c>
      <c r="D208" s="4">
        <v>1</v>
      </c>
      <c r="E208" s="4">
        <v>217</v>
      </c>
      <c r="F208" s="4">
        <f>ROUND(Source!AU189,O208)</f>
        <v>177415188.34999999</v>
      </c>
      <c r="G208" s="4" t="s">
        <v>140</v>
      </c>
      <c r="H208" s="4" t="s">
        <v>141</v>
      </c>
      <c r="I208" s="4"/>
      <c r="J208" s="4"/>
      <c r="K208" s="4">
        <v>217</v>
      </c>
      <c r="L208" s="4">
        <v>18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177415188.34999999</v>
      </c>
      <c r="X208" s="4">
        <v>1</v>
      </c>
      <c r="Y208" s="4">
        <v>177415188.34999999</v>
      </c>
      <c r="Z208" s="4"/>
      <c r="AA208" s="4"/>
      <c r="AB208" s="4"/>
    </row>
    <row r="209" spans="1:206" ht="13" x14ac:dyDescent="0.3">
      <c r="A209" s="4">
        <v>50</v>
      </c>
      <c r="B209" s="4">
        <v>0</v>
      </c>
      <c r="C209" s="4">
        <v>0</v>
      </c>
      <c r="D209" s="4">
        <v>1</v>
      </c>
      <c r="E209" s="4">
        <v>230</v>
      </c>
      <c r="F209" s="4">
        <f>ROUND(Source!BA189,O209)</f>
        <v>0</v>
      </c>
      <c r="G209" s="4" t="s">
        <v>142</v>
      </c>
      <c r="H209" s="4" t="s">
        <v>143</v>
      </c>
      <c r="I209" s="4"/>
      <c r="J209" s="4"/>
      <c r="K209" s="4">
        <v>230</v>
      </c>
      <c r="L209" s="4">
        <v>19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06" ht="13" x14ac:dyDescent="0.3">
      <c r="A210" s="4">
        <v>50</v>
      </c>
      <c r="B210" s="4">
        <v>0</v>
      </c>
      <c r="C210" s="4">
        <v>0</v>
      </c>
      <c r="D210" s="4">
        <v>1</v>
      </c>
      <c r="E210" s="4">
        <v>206</v>
      </c>
      <c r="F210" s="4">
        <f>ROUND(Source!T189,O210)</f>
        <v>0</v>
      </c>
      <c r="G210" s="4" t="s">
        <v>144</v>
      </c>
      <c r="H210" s="4" t="s">
        <v>145</v>
      </c>
      <c r="I210" s="4"/>
      <c r="J210" s="4"/>
      <c r="K210" s="4">
        <v>206</v>
      </c>
      <c r="L210" s="4">
        <v>20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06" ht="13" x14ac:dyDescent="0.3">
      <c r="A211" s="4">
        <v>50</v>
      </c>
      <c r="B211" s="4">
        <v>0</v>
      </c>
      <c r="C211" s="4">
        <v>0</v>
      </c>
      <c r="D211" s="4">
        <v>1</v>
      </c>
      <c r="E211" s="4">
        <v>207</v>
      </c>
      <c r="F211" s="4">
        <f>Source!U189</f>
        <v>89022.805405999999</v>
      </c>
      <c r="G211" s="4" t="s">
        <v>146</v>
      </c>
      <c r="H211" s="4" t="s">
        <v>147</v>
      </c>
      <c r="I211" s="4"/>
      <c r="J211" s="4"/>
      <c r="K211" s="4">
        <v>207</v>
      </c>
      <c r="L211" s="4">
        <v>21</v>
      </c>
      <c r="M211" s="4">
        <v>3</v>
      </c>
      <c r="N211" s="4" t="s">
        <v>3</v>
      </c>
      <c r="O211" s="4">
        <v>-1</v>
      </c>
      <c r="P211" s="4"/>
      <c r="Q211" s="4"/>
      <c r="R211" s="4"/>
      <c r="S211" s="4"/>
      <c r="T211" s="4"/>
      <c r="U211" s="4"/>
      <c r="V211" s="4"/>
      <c r="W211" s="4">
        <v>89022.805405999999</v>
      </c>
      <c r="X211" s="4">
        <v>1</v>
      </c>
      <c r="Y211" s="4">
        <v>89022.805405999999</v>
      </c>
      <c r="Z211" s="4"/>
      <c r="AA211" s="4"/>
      <c r="AB211" s="4"/>
    </row>
    <row r="212" spans="1:206" ht="13" x14ac:dyDescent="0.3">
      <c r="A212" s="4">
        <v>50</v>
      </c>
      <c r="B212" s="4">
        <v>0</v>
      </c>
      <c r="C212" s="4">
        <v>0</v>
      </c>
      <c r="D212" s="4">
        <v>1</v>
      </c>
      <c r="E212" s="4">
        <v>208</v>
      </c>
      <c r="F212" s="4">
        <f>Source!V189</f>
        <v>0</v>
      </c>
      <c r="G212" s="4" t="s">
        <v>148</v>
      </c>
      <c r="H212" s="4" t="s">
        <v>149</v>
      </c>
      <c r="I212" s="4"/>
      <c r="J212" s="4"/>
      <c r="K212" s="4">
        <v>208</v>
      </c>
      <c r="L212" s="4">
        <v>22</v>
      </c>
      <c r="M212" s="4">
        <v>3</v>
      </c>
      <c r="N212" s="4" t="s">
        <v>3</v>
      </c>
      <c r="O212" s="4">
        <v>-1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06" ht="13" x14ac:dyDescent="0.3">
      <c r="A213" s="4">
        <v>50</v>
      </c>
      <c r="B213" s="4">
        <v>0</v>
      </c>
      <c r="C213" s="4">
        <v>0</v>
      </c>
      <c r="D213" s="4">
        <v>1</v>
      </c>
      <c r="E213" s="4">
        <v>209</v>
      </c>
      <c r="F213" s="4">
        <f>ROUND(Source!W189,O213)</f>
        <v>0</v>
      </c>
      <c r="G213" s="4" t="s">
        <v>150</v>
      </c>
      <c r="H213" s="4" t="s">
        <v>151</v>
      </c>
      <c r="I213" s="4"/>
      <c r="J213" s="4"/>
      <c r="K213" s="4">
        <v>209</v>
      </c>
      <c r="L213" s="4">
        <v>23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06" ht="13" x14ac:dyDescent="0.3">
      <c r="A214" s="4">
        <v>50</v>
      </c>
      <c r="B214" s="4">
        <v>0</v>
      </c>
      <c r="C214" s="4">
        <v>0</v>
      </c>
      <c r="D214" s="4">
        <v>1</v>
      </c>
      <c r="E214" s="4">
        <v>233</v>
      </c>
      <c r="F214" s="4">
        <f>ROUND(Source!BD189,O214)</f>
        <v>0</v>
      </c>
      <c r="G214" s="4" t="s">
        <v>152</v>
      </c>
      <c r="H214" s="4" t="s">
        <v>153</v>
      </c>
      <c r="I214" s="4"/>
      <c r="J214" s="4"/>
      <c r="K214" s="4">
        <v>233</v>
      </c>
      <c r="L214" s="4">
        <v>24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06" ht="13" x14ac:dyDescent="0.3">
      <c r="A215" s="4">
        <v>50</v>
      </c>
      <c r="B215" s="4">
        <v>0</v>
      </c>
      <c r="C215" s="4">
        <v>0</v>
      </c>
      <c r="D215" s="4">
        <v>1</v>
      </c>
      <c r="E215" s="4">
        <v>210</v>
      </c>
      <c r="F215" s="4">
        <f>ROUND(Source!X189,O215)</f>
        <v>28154397.670000002</v>
      </c>
      <c r="G215" s="4" t="s">
        <v>154</v>
      </c>
      <c r="H215" s="4" t="s">
        <v>155</v>
      </c>
      <c r="I215" s="4"/>
      <c r="J215" s="4"/>
      <c r="K215" s="4">
        <v>210</v>
      </c>
      <c r="L215" s="4">
        <v>25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28154397.670000002</v>
      </c>
      <c r="X215" s="4">
        <v>1</v>
      </c>
      <c r="Y215" s="4">
        <v>28154397.670000002</v>
      </c>
      <c r="Z215" s="4"/>
      <c r="AA215" s="4"/>
      <c r="AB215" s="4"/>
    </row>
    <row r="216" spans="1:206" ht="13" x14ac:dyDescent="0.3">
      <c r="A216" s="4">
        <v>50</v>
      </c>
      <c r="B216" s="4">
        <v>0</v>
      </c>
      <c r="C216" s="4">
        <v>0</v>
      </c>
      <c r="D216" s="4">
        <v>1</v>
      </c>
      <c r="E216" s="4">
        <v>211</v>
      </c>
      <c r="F216" s="4">
        <f>ROUND(Source!Y189,O216)</f>
        <v>4022056.82</v>
      </c>
      <c r="G216" s="4" t="s">
        <v>156</v>
      </c>
      <c r="H216" s="4" t="s">
        <v>157</v>
      </c>
      <c r="I216" s="4"/>
      <c r="J216" s="4"/>
      <c r="K216" s="4">
        <v>211</v>
      </c>
      <c r="L216" s="4">
        <v>26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4022056.82</v>
      </c>
      <c r="X216" s="4">
        <v>1</v>
      </c>
      <c r="Y216" s="4">
        <v>4022056.82</v>
      </c>
      <c r="Z216" s="4"/>
      <c r="AA216" s="4"/>
      <c r="AB216" s="4"/>
    </row>
    <row r="217" spans="1:206" ht="13" x14ac:dyDescent="0.3">
      <c r="A217" s="4">
        <v>50</v>
      </c>
      <c r="B217" s="4">
        <v>0</v>
      </c>
      <c r="C217" s="4">
        <v>0</v>
      </c>
      <c r="D217" s="4">
        <v>1</v>
      </c>
      <c r="E217" s="4">
        <v>224</v>
      </c>
      <c r="F217" s="4">
        <f>ROUND(Source!AR189,O217)</f>
        <v>177415188.34999999</v>
      </c>
      <c r="G217" s="4" t="s">
        <v>158</v>
      </c>
      <c r="H217" s="4" t="s">
        <v>159</v>
      </c>
      <c r="I217" s="4"/>
      <c r="J217" s="4"/>
      <c r="K217" s="4">
        <v>224</v>
      </c>
      <c r="L217" s="4">
        <v>27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177415188.34999999</v>
      </c>
      <c r="X217" s="4">
        <v>1</v>
      </c>
      <c r="Y217" s="4">
        <v>177415188.34999999</v>
      </c>
      <c r="Z217" s="4"/>
      <c r="AA217" s="4"/>
      <c r="AB217" s="4"/>
    </row>
    <row r="219" spans="1:206" ht="13" x14ac:dyDescent="0.3">
      <c r="A219" s="2">
        <v>51</v>
      </c>
      <c r="B219" s="2">
        <f>B20</f>
        <v>1</v>
      </c>
      <c r="C219" s="2">
        <f>A20</f>
        <v>3</v>
      </c>
      <c r="D219" s="2">
        <f>ROW(A20)</f>
        <v>20</v>
      </c>
      <c r="E219" s="2"/>
      <c r="F219" s="2" t="str">
        <f>IF(F20&lt;&gt;"",F20,"")</f>
        <v>Новая локальная смета</v>
      </c>
      <c r="G219" s="2" t="str">
        <f>IF(G20&lt;&gt;"",G20,"")</f>
        <v>Локальная смета: Зона №1</v>
      </c>
      <c r="H219" s="2">
        <v>0</v>
      </c>
      <c r="I219" s="2"/>
      <c r="J219" s="2"/>
      <c r="K219" s="2"/>
      <c r="L219" s="2"/>
      <c r="M219" s="2"/>
      <c r="N219" s="2"/>
      <c r="O219" s="2">
        <f t="shared" ref="O219:T219" si="156">ROUND(O189+AB219,2)</f>
        <v>115061950.14</v>
      </c>
      <c r="P219" s="2">
        <f t="shared" si="156"/>
        <v>11271375.4</v>
      </c>
      <c r="Q219" s="2">
        <f t="shared" si="156"/>
        <v>63570006.670000002</v>
      </c>
      <c r="R219" s="2">
        <f t="shared" si="156"/>
        <v>27941466.399999999</v>
      </c>
      <c r="S219" s="2">
        <f t="shared" si="156"/>
        <v>40220568.07</v>
      </c>
      <c r="T219" s="2">
        <f t="shared" si="156"/>
        <v>0</v>
      </c>
      <c r="U219" s="2">
        <f>U189+AH219</f>
        <v>89022.805405999999</v>
      </c>
      <c r="V219" s="2">
        <f>V189+AI219</f>
        <v>0</v>
      </c>
      <c r="W219" s="2">
        <f>ROUND(W189+AJ219,2)</f>
        <v>0</v>
      </c>
      <c r="X219" s="2">
        <f>ROUND(X189+AK219,2)</f>
        <v>28154397.670000002</v>
      </c>
      <c r="Y219" s="2">
        <f>ROUND(Y189+AL219,2)</f>
        <v>4022056.82</v>
      </c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>
        <f t="shared" ref="AO219:BD219" si="157">ROUND(AO189+BX219,2)</f>
        <v>0</v>
      </c>
      <c r="AP219" s="2">
        <f t="shared" si="157"/>
        <v>0</v>
      </c>
      <c r="AQ219" s="2">
        <f t="shared" si="157"/>
        <v>0</v>
      </c>
      <c r="AR219" s="2">
        <f t="shared" si="157"/>
        <v>177415188.34999999</v>
      </c>
      <c r="AS219" s="2">
        <f t="shared" si="157"/>
        <v>0</v>
      </c>
      <c r="AT219" s="2">
        <f t="shared" si="157"/>
        <v>0</v>
      </c>
      <c r="AU219" s="2">
        <f t="shared" si="157"/>
        <v>177415188.34999999</v>
      </c>
      <c r="AV219" s="2">
        <f t="shared" si="157"/>
        <v>11271375.4</v>
      </c>
      <c r="AW219" s="2">
        <f t="shared" si="157"/>
        <v>11271375.4</v>
      </c>
      <c r="AX219" s="2">
        <f t="shared" si="157"/>
        <v>0</v>
      </c>
      <c r="AY219" s="2">
        <f t="shared" si="157"/>
        <v>11271375.4</v>
      </c>
      <c r="AZ219" s="2">
        <f t="shared" si="157"/>
        <v>0</v>
      </c>
      <c r="BA219" s="2">
        <f t="shared" si="157"/>
        <v>0</v>
      </c>
      <c r="BB219" s="2">
        <f t="shared" si="157"/>
        <v>0</v>
      </c>
      <c r="BC219" s="2">
        <f t="shared" si="157"/>
        <v>0</v>
      </c>
      <c r="BD219" s="2">
        <f t="shared" si="157"/>
        <v>0</v>
      </c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3"/>
      <c r="DH219" s="3"/>
      <c r="DI219" s="3"/>
      <c r="DJ219" s="3"/>
      <c r="DK219" s="3"/>
      <c r="DL219" s="3"/>
      <c r="DM219" s="3"/>
      <c r="DN219" s="3"/>
      <c r="DO219" s="3"/>
      <c r="DP219" s="3"/>
      <c r="DQ219" s="3"/>
      <c r="DR219" s="3"/>
      <c r="DS219" s="3"/>
      <c r="DT219" s="3"/>
      <c r="DU219" s="3"/>
      <c r="DV219" s="3"/>
      <c r="DW219" s="3"/>
      <c r="DX219" s="3"/>
      <c r="DY219" s="3"/>
      <c r="DZ219" s="3"/>
      <c r="EA219" s="3"/>
      <c r="EB219" s="3"/>
      <c r="EC219" s="3"/>
      <c r="ED219" s="3"/>
      <c r="EE219" s="3"/>
      <c r="EF219" s="3"/>
      <c r="EG219" s="3"/>
      <c r="EH219" s="3"/>
      <c r="EI219" s="3"/>
      <c r="EJ219" s="3"/>
      <c r="EK219" s="3"/>
      <c r="EL219" s="3"/>
      <c r="EM219" s="3"/>
      <c r="EN219" s="3"/>
      <c r="EO219" s="3"/>
      <c r="EP219" s="3"/>
      <c r="EQ219" s="3"/>
      <c r="ER219" s="3"/>
      <c r="ES219" s="3"/>
      <c r="ET219" s="3"/>
      <c r="EU219" s="3"/>
      <c r="EV219" s="3"/>
      <c r="EW219" s="3"/>
      <c r="EX219" s="3"/>
      <c r="EY219" s="3"/>
      <c r="EZ219" s="3"/>
      <c r="FA219" s="3"/>
      <c r="FB219" s="3"/>
      <c r="FC219" s="3"/>
      <c r="FD219" s="3"/>
      <c r="FE219" s="3"/>
      <c r="FF219" s="3"/>
      <c r="FG219" s="3"/>
      <c r="FH219" s="3"/>
      <c r="FI219" s="3"/>
      <c r="FJ219" s="3"/>
      <c r="FK219" s="3"/>
      <c r="FL219" s="3"/>
      <c r="FM219" s="3"/>
      <c r="FN219" s="3"/>
      <c r="FO219" s="3"/>
      <c r="FP219" s="3"/>
      <c r="FQ219" s="3"/>
      <c r="FR219" s="3"/>
      <c r="FS219" s="3"/>
      <c r="FT219" s="3"/>
      <c r="FU219" s="3"/>
      <c r="FV219" s="3"/>
      <c r="FW219" s="3"/>
      <c r="FX219" s="3"/>
      <c r="FY219" s="3"/>
      <c r="FZ219" s="3"/>
      <c r="GA219" s="3"/>
      <c r="GB219" s="3"/>
      <c r="GC219" s="3"/>
      <c r="GD219" s="3"/>
      <c r="GE219" s="3"/>
      <c r="GF219" s="3"/>
      <c r="GG219" s="3"/>
      <c r="GH219" s="3"/>
      <c r="GI219" s="3"/>
      <c r="GJ219" s="3"/>
      <c r="GK219" s="3"/>
      <c r="GL219" s="3"/>
      <c r="GM219" s="3"/>
      <c r="GN219" s="3"/>
      <c r="GO219" s="3"/>
      <c r="GP219" s="3"/>
      <c r="GQ219" s="3"/>
      <c r="GR219" s="3"/>
      <c r="GS219" s="3"/>
      <c r="GT219" s="3"/>
      <c r="GU219" s="3"/>
      <c r="GV219" s="3"/>
      <c r="GW219" s="3"/>
      <c r="GX219" s="3">
        <v>0</v>
      </c>
    </row>
    <row r="221" spans="1:206" ht="13" x14ac:dyDescent="0.3">
      <c r="A221" s="4">
        <v>50</v>
      </c>
      <c r="B221" s="4">
        <v>0</v>
      </c>
      <c r="C221" s="4">
        <v>0</v>
      </c>
      <c r="D221" s="4">
        <v>1</v>
      </c>
      <c r="E221" s="4">
        <v>201</v>
      </c>
      <c r="F221" s="4">
        <f>ROUND(Source!O219,O221)</f>
        <v>115061950.14</v>
      </c>
      <c r="G221" s="4" t="s">
        <v>106</v>
      </c>
      <c r="H221" s="4" t="s">
        <v>107</v>
      </c>
      <c r="I221" s="4"/>
      <c r="J221" s="4"/>
      <c r="K221" s="4">
        <v>201</v>
      </c>
      <c r="L221" s="4">
        <v>1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115061950.14</v>
      </c>
      <c r="X221" s="4">
        <v>1</v>
      </c>
      <c r="Y221" s="4">
        <v>115061950.14</v>
      </c>
      <c r="Z221" s="4"/>
      <c r="AA221" s="4"/>
      <c r="AB221" s="4"/>
    </row>
    <row r="222" spans="1:206" ht="13" x14ac:dyDescent="0.3">
      <c r="A222" s="4">
        <v>50</v>
      </c>
      <c r="B222" s="4">
        <v>0</v>
      </c>
      <c r="C222" s="4">
        <v>0</v>
      </c>
      <c r="D222" s="4">
        <v>1</v>
      </c>
      <c r="E222" s="4">
        <v>202</v>
      </c>
      <c r="F222" s="4">
        <f>ROUND(Source!P219,O222)</f>
        <v>11271375.4</v>
      </c>
      <c r="G222" s="4" t="s">
        <v>108</v>
      </c>
      <c r="H222" s="4" t="s">
        <v>109</v>
      </c>
      <c r="I222" s="4"/>
      <c r="J222" s="4"/>
      <c r="K222" s="4">
        <v>202</v>
      </c>
      <c r="L222" s="4">
        <v>2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11271375.4</v>
      </c>
      <c r="X222" s="4">
        <v>1</v>
      </c>
      <c r="Y222" s="4">
        <v>11271375.4</v>
      </c>
      <c r="Z222" s="4"/>
      <c r="AA222" s="4"/>
      <c r="AB222" s="4"/>
    </row>
    <row r="223" spans="1:206" ht="13" x14ac:dyDescent="0.3">
      <c r="A223" s="4">
        <v>50</v>
      </c>
      <c r="B223" s="4">
        <v>0</v>
      </c>
      <c r="C223" s="4">
        <v>0</v>
      </c>
      <c r="D223" s="4">
        <v>1</v>
      </c>
      <c r="E223" s="4">
        <v>222</v>
      </c>
      <c r="F223" s="4">
        <f>ROUND(Source!AO219,O223)</f>
        <v>0</v>
      </c>
      <c r="G223" s="4" t="s">
        <v>110</v>
      </c>
      <c r="H223" s="4" t="s">
        <v>111</v>
      </c>
      <c r="I223" s="4"/>
      <c r="J223" s="4"/>
      <c r="K223" s="4">
        <v>222</v>
      </c>
      <c r="L223" s="4">
        <v>3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06" ht="13" x14ac:dyDescent="0.3">
      <c r="A224" s="4">
        <v>50</v>
      </c>
      <c r="B224" s="4">
        <v>0</v>
      </c>
      <c r="C224" s="4">
        <v>0</v>
      </c>
      <c r="D224" s="4">
        <v>1</v>
      </c>
      <c r="E224" s="4">
        <v>225</v>
      </c>
      <c r="F224" s="4">
        <f>ROUND(Source!AV219,O224)</f>
        <v>11271375.4</v>
      </c>
      <c r="G224" s="4" t="s">
        <v>112</v>
      </c>
      <c r="H224" s="4" t="s">
        <v>113</v>
      </c>
      <c r="I224" s="4"/>
      <c r="J224" s="4"/>
      <c r="K224" s="4">
        <v>225</v>
      </c>
      <c r="L224" s="4">
        <v>4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11271375.4</v>
      </c>
      <c r="X224" s="4">
        <v>1</v>
      </c>
      <c r="Y224" s="4">
        <v>11271375.4</v>
      </c>
      <c r="Z224" s="4"/>
      <c r="AA224" s="4"/>
      <c r="AB224" s="4"/>
    </row>
    <row r="225" spans="1:28" ht="13" x14ac:dyDescent="0.3">
      <c r="A225" s="4">
        <v>50</v>
      </c>
      <c r="B225" s="4">
        <v>0</v>
      </c>
      <c r="C225" s="4">
        <v>0</v>
      </c>
      <c r="D225" s="4">
        <v>1</v>
      </c>
      <c r="E225" s="4">
        <v>226</v>
      </c>
      <c r="F225" s="4">
        <f>ROUND(Source!AW219,O225)</f>
        <v>11271375.4</v>
      </c>
      <c r="G225" s="4" t="s">
        <v>114</v>
      </c>
      <c r="H225" s="4" t="s">
        <v>115</v>
      </c>
      <c r="I225" s="4"/>
      <c r="J225" s="4"/>
      <c r="K225" s="4">
        <v>226</v>
      </c>
      <c r="L225" s="4">
        <v>5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11271375.4</v>
      </c>
      <c r="X225" s="4">
        <v>1</v>
      </c>
      <c r="Y225" s="4">
        <v>11271375.4</v>
      </c>
      <c r="Z225" s="4"/>
      <c r="AA225" s="4"/>
      <c r="AB225" s="4"/>
    </row>
    <row r="226" spans="1:28" ht="13" x14ac:dyDescent="0.3">
      <c r="A226" s="4">
        <v>50</v>
      </c>
      <c r="B226" s="4">
        <v>0</v>
      </c>
      <c r="C226" s="4">
        <v>0</v>
      </c>
      <c r="D226" s="4">
        <v>1</v>
      </c>
      <c r="E226" s="4">
        <v>227</v>
      </c>
      <c r="F226" s="4">
        <f>ROUND(Source!AX219,O226)</f>
        <v>0</v>
      </c>
      <c r="G226" s="4" t="s">
        <v>116</v>
      </c>
      <c r="H226" s="4" t="s">
        <v>117</v>
      </c>
      <c r="I226" s="4"/>
      <c r="J226" s="4"/>
      <c r="K226" s="4">
        <v>227</v>
      </c>
      <c r="L226" s="4">
        <v>6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8" ht="13" x14ac:dyDescent="0.3">
      <c r="A227" s="4">
        <v>50</v>
      </c>
      <c r="B227" s="4">
        <v>0</v>
      </c>
      <c r="C227" s="4">
        <v>0</v>
      </c>
      <c r="D227" s="4">
        <v>1</v>
      </c>
      <c r="E227" s="4">
        <v>228</v>
      </c>
      <c r="F227" s="4">
        <f>ROUND(Source!AY219,O227)</f>
        <v>11271375.4</v>
      </c>
      <c r="G227" s="4" t="s">
        <v>118</v>
      </c>
      <c r="H227" s="4" t="s">
        <v>119</v>
      </c>
      <c r="I227" s="4"/>
      <c r="J227" s="4"/>
      <c r="K227" s="4">
        <v>228</v>
      </c>
      <c r="L227" s="4">
        <v>7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11271375.4</v>
      </c>
      <c r="X227" s="4">
        <v>1</v>
      </c>
      <c r="Y227" s="4">
        <v>11271375.4</v>
      </c>
      <c r="Z227" s="4"/>
      <c r="AA227" s="4"/>
      <c r="AB227" s="4"/>
    </row>
    <row r="228" spans="1:28" ht="13" x14ac:dyDescent="0.3">
      <c r="A228" s="4">
        <v>50</v>
      </c>
      <c r="B228" s="4">
        <v>0</v>
      </c>
      <c r="C228" s="4">
        <v>0</v>
      </c>
      <c r="D228" s="4">
        <v>1</v>
      </c>
      <c r="E228" s="4">
        <v>216</v>
      </c>
      <c r="F228" s="4">
        <f>ROUND(Source!AP219,O228)</f>
        <v>0</v>
      </c>
      <c r="G228" s="4" t="s">
        <v>120</v>
      </c>
      <c r="H228" s="4" t="s">
        <v>121</v>
      </c>
      <c r="I228" s="4"/>
      <c r="J228" s="4"/>
      <c r="K228" s="4">
        <v>216</v>
      </c>
      <c r="L228" s="4">
        <v>8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8" ht="13" x14ac:dyDescent="0.3">
      <c r="A229" s="4">
        <v>50</v>
      </c>
      <c r="B229" s="4">
        <v>0</v>
      </c>
      <c r="C229" s="4">
        <v>0</v>
      </c>
      <c r="D229" s="4">
        <v>1</v>
      </c>
      <c r="E229" s="4">
        <v>223</v>
      </c>
      <c r="F229" s="4">
        <f>ROUND(Source!AQ219,O229)</f>
        <v>0</v>
      </c>
      <c r="G229" s="4" t="s">
        <v>122</v>
      </c>
      <c r="H229" s="4" t="s">
        <v>123</v>
      </c>
      <c r="I229" s="4"/>
      <c r="J229" s="4"/>
      <c r="K229" s="4">
        <v>223</v>
      </c>
      <c r="L229" s="4">
        <v>9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8" ht="13" x14ac:dyDescent="0.3">
      <c r="A230" s="4">
        <v>50</v>
      </c>
      <c r="B230" s="4">
        <v>0</v>
      </c>
      <c r="C230" s="4">
        <v>0</v>
      </c>
      <c r="D230" s="4">
        <v>1</v>
      </c>
      <c r="E230" s="4">
        <v>229</v>
      </c>
      <c r="F230" s="4">
        <f>ROUND(Source!AZ219,O230)</f>
        <v>0</v>
      </c>
      <c r="G230" s="4" t="s">
        <v>124</v>
      </c>
      <c r="H230" s="4" t="s">
        <v>125</v>
      </c>
      <c r="I230" s="4"/>
      <c r="J230" s="4"/>
      <c r="K230" s="4">
        <v>229</v>
      </c>
      <c r="L230" s="4">
        <v>10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8" ht="13" x14ac:dyDescent="0.3">
      <c r="A231" s="4">
        <v>50</v>
      </c>
      <c r="B231" s="4">
        <v>0</v>
      </c>
      <c r="C231" s="4">
        <v>0</v>
      </c>
      <c r="D231" s="4">
        <v>1</v>
      </c>
      <c r="E231" s="4">
        <v>203</v>
      </c>
      <c r="F231" s="4">
        <f>ROUND(Source!Q219,O231)</f>
        <v>63570006.670000002</v>
      </c>
      <c r="G231" s="4" t="s">
        <v>126</v>
      </c>
      <c r="H231" s="4" t="s">
        <v>127</v>
      </c>
      <c r="I231" s="4"/>
      <c r="J231" s="4"/>
      <c r="K231" s="4">
        <v>203</v>
      </c>
      <c r="L231" s="4">
        <v>11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63570006.670000002</v>
      </c>
      <c r="X231" s="4">
        <v>1</v>
      </c>
      <c r="Y231" s="4">
        <v>63570006.670000002</v>
      </c>
      <c r="Z231" s="4"/>
      <c r="AA231" s="4"/>
      <c r="AB231" s="4"/>
    </row>
    <row r="232" spans="1:28" ht="13" x14ac:dyDescent="0.3">
      <c r="A232" s="4">
        <v>50</v>
      </c>
      <c r="B232" s="4">
        <v>0</v>
      </c>
      <c r="C232" s="4">
        <v>0</v>
      </c>
      <c r="D232" s="4">
        <v>1</v>
      </c>
      <c r="E232" s="4">
        <v>231</v>
      </c>
      <c r="F232" s="4">
        <f>ROUND(Source!BB219,O232)</f>
        <v>0</v>
      </c>
      <c r="G232" s="4" t="s">
        <v>128</v>
      </c>
      <c r="H232" s="4" t="s">
        <v>129</v>
      </c>
      <c r="I232" s="4"/>
      <c r="J232" s="4"/>
      <c r="K232" s="4">
        <v>231</v>
      </c>
      <c r="L232" s="4">
        <v>12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0</v>
      </c>
      <c r="X232" s="4">
        <v>1</v>
      </c>
      <c r="Y232" s="4">
        <v>0</v>
      </c>
      <c r="Z232" s="4"/>
      <c r="AA232" s="4"/>
      <c r="AB232" s="4"/>
    </row>
    <row r="233" spans="1:28" ht="13" x14ac:dyDescent="0.3">
      <c r="A233" s="4">
        <v>50</v>
      </c>
      <c r="B233" s="4">
        <v>0</v>
      </c>
      <c r="C233" s="4">
        <v>0</v>
      </c>
      <c r="D233" s="4">
        <v>1</v>
      </c>
      <c r="E233" s="4">
        <v>204</v>
      </c>
      <c r="F233" s="4">
        <f>ROUND(Source!R219,O233)</f>
        <v>27941466.399999999</v>
      </c>
      <c r="G233" s="4" t="s">
        <v>130</v>
      </c>
      <c r="H233" s="4" t="s">
        <v>131</v>
      </c>
      <c r="I233" s="4"/>
      <c r="J233" s="4"/>
      <c r="K233" s="4">
        <v>204</v>
      </c>
      <c r="L233" s="4">
        <v>13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27941466.399999999</v>
      </c>
      <c r="X233" s="4">
        <v>1</v>
      </c>
      <c r="Y233" s="4">
        <v>27941466.399999999</v>
      </c>
      <c r="Z233" s="4"/>
      <c r="AA233" s="4"/>
      <c r="AB233" s="4"/>
    </row>
    <row r="234" spans="1:28" ht="13" x14ac:dyDescent="0.3">
      <c r="A234" s="4">
        <v>50</v>
      </c>
      <c r="B234" s="4">
        <v>0</v>
      </c>
      <c r="C234" s="4">
        <v>0</v>
      </c>
      <c r="D234" s="4">
        <v>1</v>
      </c>
      <c r="E234" s="4">
        <v>205</v>
      </c>
      <c r="F234" s="4">
        <f>ROUND(Source!S219,O234)</f>
        <v>40220568.07</v>
      </c>
      <c r="G234" s="4" t="s">
        <v>132</v>
      </c>
      <c r="H234" s="4" t="s">
        <v>133</v>
      </c>
      <c r="I234" s="4"/>
      <c r="J234" s="4"/>
      <c r="K234" s="4">
        <v>205</v>
      </c>
      <c r="L234" s="4">
        <v>14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40220568.07</v>
      </c>
      <c r="X234" s="4">
        <v>1</v>
      </c>
      <c r="Y234" s="4">
        <v>40220568.07</v>
      </c>
      <c r="Z234" s="4"/>
      <c r="AA234" s="4"/>
      <c r="AB234" s="4"/>
    </row>
    <row r="235" spans="1:28" ht="13" x14ac:dyDescent="0.3">
      <c r="A235" s="4">
        <v>50</v>
      </c>
      <c r="B235" s="4">
        <v>0</v>
      </c>
      <c r="C235" s="4">
        <v>0</v>
      </c>
      <c r="D235" s="4">
        <v>1</v>
      </c>
      <c r="E235" s="4">
        <v>232</v>
      </c>
      <c r="F235" s="4">
        <f>ROUND(Source!BC219,O235)</f>
        <v>0</v>
      </c>
      <c r="G235" s="4" t="s">
        <v>134</v>
      </c>
      <c r="H235" s="4" t="s">
        <v>135</v>
      </c>
      <c r="I235" s="4"/>
      <c r="J235" s="4"/>
      <c r="K235" s="4">
        <v>232</v>
      </c>
      <c r="L235" s="4">
        <v>15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8" ht="13" x14ac:dyDescent="0.3">
      <c r="A236" s="4">
        <v>50</v>
      </c>
      <c r="B236" s="4">
        <v>0</v>
      </c>
      <c r="C236" s="4">
        <v>0</v>
      </c>
      <c r="D236" s="4">
        <v>1</v>
      </c>
      <c r="E236" s="4">
        <v>214</v>
      </c>
      <c r="F236" s="4">
        <f>ROUND(Source!AS219,O236)</f>
        <v>0</v>
      </c>
      <c r="G236" s="4" t="s">
        <v>136</v>
      </c>
      <c r="H236" s="4" t="s">
        <v>137</v>
      </c>
      <c r="I236" s="4"/>
      <c r="J236" s="4"/>
      <c r="K236" s="4">
        <v>214</v>
      </c>
      <c r="L236" s="4">
        <v>16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7" spans="1:28" ht="13" x14ac:dyDescent="0.3">
      <c r="A237" s="4">
        <v>50</v>
      </c>
      <c r="B237" s="4">
        <v>0</v>
      </c>
      <c r="C237" s="4">
        <v>0</v>
      </c>
      <c r="D237" s="4">
        <v>1</v>
      </c>
      <c r="E237" s="4">
        <v>215</v>
      </c>
      <c r="F237" s="4">
        <f>ROUND(Source!AT219,O237)</f>
        <v>0</v>
      </c>
      <c r="G237" s="4" t="s">
        <v>138</v>
      </c>
      <c r="H237" s="4" t="s">
        <v>139</v>
      </c>
      <c r="I237" s="4"/>
      <c r="J237" s="4"/>
      <c r="K237" s="4">
        <v>215</v>
      </c>
      <c r="L237" s="4">
        <v>17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0</v>
      </c>
      <c r="X237" s="4">
        <v>1</v>
      </c>
      <c r="Y237" s="4">
        <v>0</v>
      </c>
      <c r="Z237" s="4"/>
      <c r="AA237" s="4"/>
      <c r="AB237" s="4"/>
    </row>
    <row r="238" spans="1:28" ht="13" x14ac:dyDescent="0.3">
      <c r="A238" s="4">
        <v>50</v>
      </c>
      <c r="B238" s="4">
        <v>0</v>
      </c>
      <c r="C238" s="4">
        <v>0</v>
      </c>
      <c r="D238" s="4">
        <v>1</v>
      </c>
      <c r="E238" s="4">
        <v>217</v>
      </c>
      <c r="F238" s="4">
        <f>ROUND(Source!AU219,O238)</f>
        <v>177415188.34999999</v>
      </c>
      <c r="G238" s="4" t="s">
        <v>140</v>
      </c>
      <c r="H238" s="4" t="s">
        <v>141</v>
      </c>
      <c r="I238" s="4"/>
      <c r="J238" s="4"/>
      <c r="K238" s="4">
        <v>217</v>
      </c>
      <c r="L238" s="4">
        <v>18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177415188.34999999</v>
      </c>
      <c r="X238" s="4">
        <v>1</v>
      </c>
      <c r="Y238" s="4">
        <v>177415188.34999999</v>
      </c>
      <c r="Z238" s="4"/>
      <c r="AA238" s="4"/>
      <c r="AB238" s="4"/>
    </row>
    <row r="239" spans="1:28" ht="13" x14ac:dyDescent="0.3">
      <c r="A239" s="4">
        <v>50</v>
      </c>
      <c r="B239" s="4">
        <v>0</v>
      </c>
      <c r="C239" s="4">
        <v>0</v>
      </c>
      <c r="D239" s="4">
        <v>1</v>
      </c>
      <c r="E239" s="4">
        <v>230</v>
      </c>
      <c r="F239" s="4">
        <f>ROUND(Source!BA219,O239)</f>
        <v>0</v>
      </c>
      <c r="G239" s="4" t="s">
        <v>142</v>
      </c>
      <c r="H239" s="4" t="s">
        <v>143</v>
      </c>
      <c r="I239" s="4"/>
      <c r="J239" s="4"/>
      <c r="K239" s="4">
        <v>230</v>
      </c>
      <c r="L239" s="4">
        <v>19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8" ht="13" x14ac:dyDescent="0.3">
      <c r="A240" s="4">
        <v>50</v>
      </c>
      <c r="B240" s="4">
        <v>0</v>
      </c>
      <c r="C240" s="4">
        <v>0</v>
      </c>
      <c r="D240" s="4">
        <v>1</v>
      </c>
      <c r="E240" s="4">
        <v>206</v>
      </c>
      <c r="F240" s="4">
        <f>ROUND(Source!T219,O240)</f>
        <v>0</v>
      </c>
      <c r="G240" s="4" t="s">
        <v>144</v>
      </c>
      <c r="H240" s="4" t="s">
        <v>145</v>
      </c>
      <c r="I240" s="4"/>
      <c r="J240" s="4"/>
      <c r="K240" s="4">
        <v>206</v>
      </c>
      <c r="L240" s="4">
        <v>20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06" ht="13" x14ac:dyDescent="0.3">
      <c r="A241" s="4">
        <v>50</v>
      </c>
      <c r="B241" s="4">
        <v>0</v>
      </c>
      <c r="C241" s="4">
        <v>0</v>
      </c>
      <c r="D241" s="4">
        <v>1</v>
      </c>
      <c r="E241" s="4">
        <v>207</v>
      </c>
      <c r="F241" s="4">
        <f>Source!U219</f>
        <v>89022.805405999999</v>
      </c>
      <c r="G241" s="4" t="s">
        <v>146</v>
      </c>
      <c r="H241" s="4" t="s">
        <v>147</v>
      </c>
      <c r="I241" s="4"/>
      <c r="J241" s="4"/>
      <c r="K241" s="4">
        <v>207</v>
      </c>
      <c r="L241" s="4">
        <v>21</v>
      </c>
      <c r="M241" s="4">
        <v>3</v>
      </c>
      <c r="N241" s="4" t="s">
        <v>3</v>
      </c>
      <c r="O241" s="4">
        <v>-1</v>
      </c>
      <c r="P241" s="4"/>
      <c r="Q241" s="4"/>
      <c r="R241" s="4"/>
      <c r="S241" s="4"/>
      <c r="T241" s="4"/>
      <c r="U241" s="4"/>
      <c r="V241" s="4"/>
      <c r="W241" s="4">
        <v>89022.805405999999</v>
      </c>
      <c r="X241" s="4">
        <v>1</v>
      </c>
      <c r="Y241" s="4">
        <v>89022.805405999999</v>
      </c>
      <c r="Z241" s="4"/>
      <c r="AA241" s="4"/>
      <c r="AB241" s="4"/>
    </row>
    <row r="242" spans="1:206" ht="13" x14ac:dyDescent="0.3">
      <c r="A242" s="4">
        <v>50</v>
      </c>
      <c r="B242" s="4">
        <v>0</v>
      </c>
      <c r="C242" s="4">
        <v>0</v>
      </c>
      <c r="D242" s="4">
        <v>1</v>
      </c>
      <c r="E242" s="4">
        <v>208</v>
      </c>
      <c r="F242" s="4">
        <f>Source!V219</f>
        <v>0</v>
      </c>
      <c r="G242" s="4" t="s">
        <v>148</v>
      </c>
      <c r="H242" s="4" t="s">
        <v>149</v>
      </c>
      <c r="I242" s="4"/>
      <c r="J242" s="4"/>
      <c r="K242" s="4">
        <v>208</v>
      </c>
      <c r="L242" s="4">
        <v>22</v>
      </c>
      <c r="M242" s="4">
        <v>3</v>
      </c>
      <c r="N242" s="4" t="s">
        <v>3</v>
      </c>
      <c r="O242" s="4">
        <v>-1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06" ht="13" x14ac:dyDescent="0.3">
      <c r="A243" s="4">
        <v>50</v>
      </c>
      <c r="B243" s="4">
        <v>0</v>
      </c>
      <c r="C243" s="4">
        <v>0</v>
      </c>
      <c r="D243" s="4">
        <v>1</v>
      </c>
      <c r="E243" s="4">
        <v>209</v>
      </c>
      <c r="F243" s="4">
        <f>ROUND(Source!W219,O243)</f>
        <v>0</v>
      </c>
      <c r="G243" s="4" t="s">
        <v>150</v>
      </c>
      <c r="H243" s="4" t="s">
        <v>151</v>
      </c>
      <c r="I243" s="4"/>
      <c r="J243" s="4"/>
      <c r="K243" s="4">
        <v>209</v>
      </c>
      <c r="L243" s="4">
        <v>23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06" ht="13" x14ac:dyDescent="0.3">
      <c r="A244" s="4">
        <v>50</v>
      </c>
      <c r="B244" s="4">
        <v>0</v>
      </c>
      <c r="C244" s="4">
        <v>0</v>
      </c>
      <c r="D244" s="4">
        <v>1</v>
      </c>
      <c r="E244" s="4">
        <v>233</v>
      </c>
      <c r="F244" s="4">
        <f>ROUND(Source!BD219,O244)</f>
        <v>0</v>
      </c>
      <c r="G244" s="4" t="s">
        <v>152</v>
      </c>
      <c r="H244" s="4" t="s">
        <v>153</v>
      </c>
      <c r="I244" s="4"/>
      <c r="J244" s="4"/>
      <c r="K244" s="4">
        <v>233</v>
      </c>
      <c r="L244" s="4">
        <v>24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06" ht="13" x14ac:dyDescent="0.3">
      <c r="A245" s="4">
        <v>50</v>
      </c>
      <c r="B245" s="4">
        <v>0</v>
      </c>
      <c r="C245" s="4">
        <v>0</v>
      </c>
      <c r="D245" s="4">
        <v>1</v>
      </c>
      <c r="E245" s="4">
        <v>210</v>
      </c>
      <c r="F245" s="4">
        <f>ROUND(Source!X219,O245)</f>
        <v>28154397.670000002</v>
      </c>
      <c r="G245" s="4" t="s">
        <v>154</v>
      </c>
      <c r="H245" s="4" t="s">
        <v>155</v>
      </c>
      <c r="I245" s="4"/>
      <c r="J245" s="4"/>
      <c r="K245" s="4">
        <v>210</v>
      </c>
      <c r="L245" s="4">
        <v>25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28154397.670000002</v>
      </c>
      <c r="X245" s="4">
        <v>1</v>
      </c>
      <c r="Y245" s="4">
        <v>28154397.670000002</v>
      </c>
      <c r="Z245" s="4"/>
      <c r="AA245" s="4"/>
      <c r="AB245" s="4"/>
    </row>
    <row r="246" spans="1:206" ht="13" x14ac:dyDescent="0.3">
      <c r="A246" s="4">
        <v>50</v>
      </c>
      <c r="B246" s="4">
        <v>0</v>
      </c>
      <c r="C246" s="4">
        <v>0</v>
      </c>
      <c r="D246" s="4">
        <v>1</v>
      </c>
      <c r="E246" s="4">
        <v>211</v>
      </c>
      <c r="F246" s="4">
        <f>ROUND(Source!Y219,O246)</f>
        <v>4022056.82</v>
      </c>
      <c r="G246" s="4" t="s">
        <v>156</v>
      </c>
      <c r="H246" s="4" t="s">
        <v>157</v>
      </c>
      <c r="I246" s="4"/>
      <c r="J246" s="4"/>
      <c r="K246" s="4">
        <v>211</v>
      </c>
      <c r="L246" s="4">
        <v>26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4022056.82</v>
      </c>
      <c r="X246" s="4">
        <v>1</v>
      </c>
      <c r="Y246" s="4">
        <v>4022056.82</v>
      </c>
      <c r="Z246" s="4"/>
      <c r="AA246" s="4"/>
      <c r="AB246" s="4"/>
    </row>
    <row r="247" spans="1:206" ht="13" x14ac:dyDescent="0.3">
      <c r="A247" s="4">
        <v>50</v>
      </c>
      <c r="B247" s="4">
        <v>0</v>
      </c>
      <c r="C247" s="4">
        <v>0</v>
      </c>
      <c r="D247" s="4">
        <v>1</v>
      </c>
      <c r="E247" s="4">
        <v>224</v>
      </c>
      <c r="F247" s="4">
        <f>ROUND(Source!AR219,O247)</f>
        <v>177415188.34999999</v>
      </c>
      <c r="G247" s="4" t="s">
        <v>158</v>
      </c>
      <c r="H247" s="4" t="s">
        <v>159</v>
      </c>
      <c r="I247" s="4"/>
      <c r="J247" s="4"/>
      <c r="K247" s="4">
        <v>224</v>
      </c>
      <c r="L247" s="4">
        <v>27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177415188.34999999</v>
      </c>
      <c r="X247" s="4">
        <v>1</v>
      </c>
      <c r="Y247" s="4">
        <v>177415188.34999999</v>
      </c>
      <c r="Z247" s="4"/>
      <c r="AA247" s="4"/>
      <c r="AB247" s="4"/>
    </row>
    <row r="248" spans="1:206" ht="13" x14ac:dyDescent="0.3">
      <c r="A248" s="4">
        <v>50</v>
      </c>
      <c r="B248" s="4">
        <v>1</v>
      </c>
      <c r="C248" s="4">
        <v>0</v>
      </c>
      <c r="D248" s="4">
        <v>2</v>
      </c>
      <c r="E248" s="4">
        <v>0</v>
      </c>
      <c r="F248" s="4">
        <f>ROUND(F247*0.22,O248)</f>
        <v>39031341.439999998</v>
      </c>
      <c r="G248" s="4" t="s">
        <v>3</v>
      </c>
      <c r="H248" s="4" t="s">
        <v>401</v>
      </c>
      <c r="I248" s="4"/>
      <c r="J248" s="4"/>
      <c r="K248" s="4">
        <v>212</v>
      </c>
      <c r="L248" s="4">
        <v>28</v>
      </c>
      <c r="M248" s="4">
        <v>0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35483037.670000002</v>
      </c>
      <c r="X248" s="4">
        <v>1</v>
      </c>
      <c r="Y248" s="4">
        <v>35483037.670000002</v>
      </c>
      <c r="Z248" s="4"/>
      <c r="AA248" s="4"/>
      <c r="AB248" s="4"/>
    </row>
    <row r="249" spans="1:206" ht="13" x14ac:dyDescent="0.3">
      <c r="A249" s="4">
        <v>50</v>
      </c>
      <c r="B249" s="4">
        <v>1</v>
      </c>
      <c r="C249" s="4">
        <v>0</v>
      </c>
      <c r="D249" s="4">
        <v>2</v>
      </c>
      <c r="E249" s="4">
        <v>0</v>
      </c>
      <c r="F249" s="4">
        <f>ROUND(F247*1.2,O249)</f>
        <v>212898226.02000001</v>
      </c>
      <c r="G249" s="4" t="s">
        <v>3</v>
      </c>
      <c r="H249" s="4" t="s">
        <v>274</v>
      </c>
      <c r="I249" s="4"/>
      <c r="J249" s="4"/>
      <c r="K249" s="4">
        <v>212</v>
      </c>
      <c r="L249" s="4">
        <v>29</v>
      </c>
      <c r="M249" s="4">
        <v>0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212898226.02000001</v>
      </c>
      <c r="X249" s="4">
        <v>1</v>
      </c>
      <c r="Y249" s="4">
        <v>212898226.02000001</v>
      </c>
      <c r="Z249" s="4"/>
      <c r="AA249" s="4"/>
      <c r="AB249" s="4"/>
    </row>
    <row r="251" spans="1:206" ht="13" x14ac:dyDescent="0.3">
      <c r="A251" s="2">
        <v>51</v>
      </c>
      <c r="B251" s="2">
        <f>B12</f>
        <v>287</v>
      </c>
      <c r="C251" s="2">
        <f>A12</f>
        <v>1</v>
      </c>
      <c r="D251" s="2">
        <f>ROW(A12)</f>
        <v>12</v>
      </c>
      <c r="E251" s="2"/>
      <c r="F251" s="2" t="str">
        <f>IF(F12&lt;&gt;"",F12,"")</f>
        <v>Новый объект</v>
      </c>
      <c r="G251" s="2" t="str">
        <f>IF(G12&lt;&gt;"",G12,"")</f>
        <v>Зона 1</v>
      </c>
      <c r="H251" s="2">
        <v>0</v>
      </c>
      <c r="I251" s="2"/>
      <c r="J251" s="2"/>
      <c r="K251" s="2"/>
      <c r="L251" s="2"/>
      <c r="M251" s="2"/>
      <c r="N251" s="2"/>
      <c r="O251" s="2">
        <f t="shared" ref="O251:T251" si="158">ROUND(O219,2)</f>
        <v>115061950.14</v>
      </c>
      <c r="P251" s="2">
        <f t="shared" si="158"/>
        <v>11271375.4</v>
      </c>
      <c r="Q251" s="2">
        <f t="shared" si="158"/>
        <v>63570006.670000002</v>
      </c>
      <c r="R251" s="2">
        <f t="shared" si="158"/>
        <v>27941466.399999999</v>
      </c>
      <c r="S251" s="2">
        <f t="shared" si="158"/>
        <v>40220568.07</v>
      </c>
      <c r="T251" s="2">
        <f t="shared" si="158"/>
        <v>0</v>
      </c>
      <c r="U251" s="2">
        <f>U219</f>
        <v>89022.805405999999</v>
      </c>
      <c r="V251" s="2">
        <f>V219</f>
        <v>0</v>
      </c>
      <c r="W251" s="2">
        <f>ROUND(W219,2)</f>
        <v>0</v>
      </c>
      <c r="X251" s="2">
        <f>ROUND(X219,2)</f>
        <v>28154397.670000002</v>
      </c>
      <c r="Y251" s="2">
        <f>ROUND(Y219,2)</f>
        <v>4022056.82</v>
      </c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>
        <f t="shared" ref="AO251:BD251" si="159">ROUND(AO219,2)</f>
        <v>0</v>
      </c>
      <c r="AP251" s="2">
        <f t="shared" si="159"/>
        <v>0</v>
      </c>
      <c r="AQ251" s="2">
        <f t="shared" si="159"/>
        <v>0</v>
      </c>
      <c r="AR251" s="2">
        <f t="shared" si="159"/>
        <v>177415188.34999999</v>
      </c>
      <c r="AS251" s="2">
        <f t="shared" si="159"/>
        <v>0</v>
      </c>
      <c r="AT251" s="2">
        <f t="shared" si="159"/>
        <v>0</v>
      </c>
      <c r="AU251" s="2">
        <f t="shared" si="159"/>
        <v>177415188.34999999</v>
      </c>
      <c r="AV251" s="2">
        <f t="shared" si="159"/>
        <v>11271375.4</v>
      </c>
      <c r="AW251" s="2">
        <f t="shared" si="159"/>
        <v>11271375.4</v>
      </c>
      <c r="AX251" s="2">
        <f t="shared" si="159"/>
        <v>0</v>
      </c>
      <c r="AY251" s="2">
        <f t="shared" si="159"/>
        <v>11271375.4</v>
      </c>
      <c r="AZ251" s="2">
        <f t="shared" si="159"/>
        <v>0</v>
      </c>
      <c r="BA251" s="2">
        <f t="shared" si="159"/>
        <v>0</v>
      </c>
      <c r="BB251" s="2">
        <f t="shared" si="159"/>
        <v>0</v>
      </c>
      <c r="BC251" s="2">
        <f t="shared" si="159"/>
        <v>0</v>
      </c>
      <c r="BD251" s="2">
        <f t="shared" si="159"/>
        <v>0</v>
      </c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3"/>
      <c r="DH251" s="3"/>
      <c r="DI251" s="3"/>
      <c r="DJ251" s="3"/>
      <c r="DK251" s="3"/>
      <c r="DL251" s="3"/>
      <c r="DM251" s="3"/>
      <c r="DN251" s="3"/>
      <c r="DO251" s="3"/>
      <c r="DP251" s="3"/>
      <c r="DQ251" s="3"/>
      <c r="DR251" s="3"/>
      <c r="DS251" s="3"/>
      <c r="DT251" s="3"/>
      <c r="DU251" s="3"/>
      <c r="DV251" s="3"/>
      <c r="DW251" s="3"/>
      <c r="DX251" s="3"/>
      <c r="DY251" s="3"/>
      <c r="DZ251" s="3"/>
      <c r="EA251" s="3"/>
      <c r="EB251" s="3"/>
      <c r="EC251" s="3"/>
      <c r="ED251" s="3"/>
      <c r="EE251" s="3"/>
      <c r="EF251" s="3"/>
      <c r="EG251" s="3"/>
      <c r="EH251" s="3"/>
      <c r="EI251" s="3"/>
      <c r="EJ251" s="3"/>
      <c r="EK251" s="3"/>
      <c r="EL251" s="3"/>
      <c r="EM251" s="3"/>
      <c r="EN251" s="3"/>
      <c r="EO251" s="3"/>
      <c r="EP251" s="3"/>
      <c r="EQ251" s="3"/>
      <c r="ER251" s="3"/>
      <c r="ES251" s="3"/>
      <c r="ET251" s="3"/>
      <c r="EU251" s="3"/>
      <c r="EV251" s="3"/>
      <c r="EW251" s="3"/>
      <c r="EX251" s="3"/>
      <c r="EY251" s="3"/>
      <c r="EZ251" s="3"/>
      <c r="FA251" s="3"/>
      <c r="FB251" s="3"/>
      <c r="FC251" s="3"/>
      <c r="FD251" s="3"/>
      <c r="FE251" s="3"/>
      <c r="FF251" s="3"/>
      <c r="FG251" s="3"/>
      <c r="FH251" s="3"/>
      <c r="FI251" s="3"/>
      <c r="FJ251" s="3"/>
      <c r="FK251" s="3"/>
      <c r="FL251" s="3"/>
      <c r="FM251" s="3"/>
      <c r="FN251" s="3"/>
      <c r="FO251" s="3"/>
      <c r="FP251" s="3"/>
      <c r="FQ251" s="3"/>
      <c r="FR251" s="3"/>
      <c r="FS251" s="3"/>
      <c r="FT251" s="3"/>
      <c r="FU251" s="3"/>
      <c r="FV251" s="3"/>
      <c r="FW251" s="3"/>
      <c r="FX251" s="3"/>
      <c r="FY251" s="3"/>
      <c r="FZ251" s="3"/>
      <c r="GA251" s="3"/>
      <c r="GB251" s="3"/>
      <c r="GC251" s="3"/>
      <c r="GD251" s="3"/>
      <c r="GE251" s="3"/>
      <c r="GF251" s="3"/>
      <c r="GG251" s="3"/>
      <c r="GH251" s="3"/>
      <c r="GI251" s="3"/>
      <c r="GJ251" s="3"/>
      <c r="GK251" s="3"/>
      <c r="GL251" s="3"/>
      <c r="GM251" s="3"/>
      <c r="GN251" s="3"/>
      <c r="GO251" s="3"/>
      <c r="GP251" s="3"/>
      <c r="GQ251" s="3"/>
      <c r="GR251" s="3"/>
      <c r="GS251" s="3"/>
      <c r="GT251" s="3"/>
      <c r="GU251" s="3"/>
      <c r="GV251" s="3"/>
      <c r="GW251" s="3"/>
      <c r="GX251" s="3">
        <v>0</v>
      </c>
    </row>
    <row r="253" spans="1:206" ht="13" x14ac:dyDescent="0.3">
      <c r="A253" s="4">
        <v>50</v>
      </c>
      <c r="B253" s="4">
        <v>0</v>
      </c>
      <c r="C253" s="4">
        <v>0</v>
      </c>
      <c r="D253" s="4">
        <v>1</v>
      </c>
      <c r="E253" s="4">
        <v>201</v>
      </c>
      <c r="F253" s="4">
        <f>ROUND(Source!O251,O253)</f>
        <v>115061950.14</v>
      </c>
      <c r="G253" s="4" t="s">
        <v>106</v>
      </c>
      <c r="H253" s="4" t="s">
        <v>107</v>
      </c>
      <c r="I253" s="4"/>
      <c r="J253" s="4"/>
      <c r="K253" s="4">
        <v>201</v>
      </c>
      <c r="L253" s="4">
        <v>1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115061950.14</v>
      </c>
      <c r="X253" s="4">
        <v>1</v>
      </c>
      <c r="Y253" s="4">
        <v>115061950.14</v>
      </c>
      <c r="Z253" s="4"/>
      <c r="AA253" s="4"/>
      <c r="AB253" s="4"/>
    </row>
    <row r="254" spans="1:206" ht="13" x14ac:dyDescent="0.3">
      <c r="A254" s="4">
        <v>50</v>
      </c>
      <c r="B254" s="4">
        <v>0</v>
      </c>
      <c r="C254" s="4">
        <v>0</v>
      </c>
      <c r="D254" s="4">
        <v>1</v>
      </c>
      <c r="E254" s="4">
        <v>202</v>
      </c>
      <c r="F254" s="4">
        <f>ROUND(Source!P251,O254)</f>
        <v>11271375.4</v>
      </c>
      <c r="G254" s="4" t="s">
        <v>108</v>
      </c>
      <c r="H254" s="4" t="s">
        <v>109</v>
      </c>
      <c r="I254" s="4"/>
      <c r="J254" s="4"/>
      <c r="K254" s="4">
        <v>202</v>
      </c>
      <c r="L254" s="4">
        <v>2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11271375.4</v>
      </c>
      <c r="X254" s="4">
        <v>1</v>
      </c>
      <c r="Y254" s="4">
        <v>11271375.4</v>
      </c>
      <c r="Z254" s="4"/>
      <c r="AA254" s="4"/>
      <c r="AB254" s="4"/>
    </row>
    <row r="255" spans="1:206" ht="13" x14ac:dyDescent="0.3">
      <c r="A255" s="4">
        <v>50</v>
      </c>
      <c r="B255" s="4">
        <v>0</v>
      </c>
      <c r="C255" s="4">
        <v>0</v>
      </c>
      <c r="D255" s="4">
        <v>1</v>
      </c>
      <c r="E255" s="4">
        <v>222</v>
      </c>
      <c r="F255" s="4">
        <f>ROUND(Source!AO251,O255)</f>
        <v>0</v>
      </c>
      <c r="G255" s="4" t="s">
        <v>110</v>
      </c>
      <c r="H255" s="4" t="s">
        <v>111</v>
      </c>
      <c r="I255" s="4"/>
      <c r="J255" s="4"/>
      <c r="K255" s="4">
        <v>222</v>
      </c>
      <c r="L255" s="4">
        <v>3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06" ht="13" x14ac:dyDescent="0.3">
      <c r="A256" s="4">
        <v>50</v>
      </c>
      <c r="B256" s="4">
        <v>0</v>
      </c>
      <c r="C256" s="4">
        <v>0</v>
      </c>
      <c r="D256" s="4">
        <v>1</v>
      </c>
      <c r="E256" s="4">
        <v>225</v>
      </c>
      <c r="F256" s="4">
        <f>ROUND(Source!AV251,O256)</f>
        <v>11271375.4</v>
      </c>
      <c r="G256" s="4" t="s">
        <v>112</v>
      </c>
      <c r="H256" s="4" t="s">
        <v>113</v>
      </c>
      <c r="I256" s="4"/>
      <c r="J256" s="4"/>
      <c r="K256" s="4">
        <v>225</v>
      </c>
      <c r="L256" s="4">
        <v>4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11271375.4</v>
      </c>
      <c r="X256" s="4">
        <v>1</v>
      </c>
      <c r="Y256" s="4">
        <v>11271375.4</v>
      </c>
      <c r="Z256" s="4"/>
      <c r="AA256" s="4"/>
      <c r="AB256" s="4"/>
    </row>
    <row r="257" spans="1:28" ht="13" x14ac:dyDescent="0.3">
      <c r="A257" s="4">
        <v>50</v>
      </c>
      <c r="B257" s="4">
        <v>0</v>
      </c>
      <c r="C257" s="4">
        <v>0</v>
      </c>
      <c r="D257" s="4">
        <v>1</v>
      </c>
      <c r="E257" s="4">
        <v>226</v>
      </c>
      <c r="F257" s="4">
        <f>ROUND(Source!AW251,O257)</f>
        <v>11271375.4</v>
      </c>
      <c r="G257" s="4" t="s">
        <v>114</v>
      </c>
      <c r="H257" s="4" t="s">
        <v>115</v>
      </c>
      <c r="I257" s="4"/>
      <c r="J257" s="4"/>
      <c r="K257" s="4">
        <v>226</v>
      </c>
      <c r="L257" s="4">
        <v>5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11271375.4</v>
      </c>
      <c r="X257" s="4">
        <v>1</v>
      </c>
      <c r="Y257" s="4">
        <v>11271375.4</v>
      </c>
      <c r="Z257" s="4"/>
      <c r="AA257" s="4"/>
      <c r="AB257" s="4"/>
    </row>
    <row r="258" spans="1:28" ht="13" x14ac:dyDescent="0.3">
      <c r="A258" s="4">
        <v>50</v>
      </c>
      <c r="B258" s="4">
        <v>0</v>
      </c>
      <c r="C258" s="4">
        <v>0</v>
      </c>
      <c r="D258" s="4">
        <v>1</v>
      </c>
      <c r="E258" s="4">
        <v>227</v>
      </c>
      <c r="F258" s="4">
        <f>ROUND(Source!AX251,O258)</f>
        <v>0</v>
      </c>
      <c r="G258" s="4" t="s">
        <v>116</v>
      </c>
      <c r="H258" s="4" t="s">
        <v>117</v>
      </c>
      <c r="I258" s="4"/>
      <c r="J258" s="4"/>
      <c r="K258" s="4">
        <v>227</v>
      </c>
      <c r="L258" s="4">
        <v>6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8" ht="13" x14ac:dyDescent="0.3">
      <c r="A259" s="4">
        <v>50</v>
      </c>
      <c r="B259" s="4">
        <v>0</v>
      </c>
      <c r="C259" s="4">
        <v>0</v>
      </c>
      <c r="D259" s="4">
        <v>1</v>
      </c>
      <c r="E259" s="4">
        <v>228</v>
      </c>
      <c r="F259" s="4">
        <f>ROUND(Source!AY251,O259)</f>
        <v>11271375.4</v>
      </c>
      <c r="G259" s="4" t="s">
        <v>118</v>
      </c>
      <c r="H259" s="4" t="s">
        <v>119</v>
      </c>
      <c r="I259" s="4"/>
      <c r="J259" s="4"/>
      <c r="K259" s="4">
        <v>228</v>
      </c>
      <c r="L259" s="4">
        <v>7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11271375.4</v>
      </c>
      <c r="X259" s="4">
        <v>1</v>
      </c>
      <c r="Y259" s="4">
        <v>11271375.4</v>
      </c>
      <c r="Z259" s="4"/>
      <c r="AA259" s="4"/>
      <c r="AB259" s="4"/>
    </row>
    <row r="260" spans="1:28" ht="13" x14ac:dyDescent="0.3">
      <c r="A260" s="4">
        <v>50</v>
      </c>
      <c r="B260" s="4">
        <v>0</v>
      </c>
      <c r="C260" s="4">
        <v>0</v>
      </c>
      <c r="D260" s="4">
        <v>1</v>
      </c>
      <c r="E260" s="4">
        <v>216</v>
      </c>
      <c r="F260" s="4">
        <f>ROUND(Source!AP251,O260)</f>
        <v>0</v>
      </c>
      <c r="G260" s="4" t="s">
        <v>120</v>
      </c>
      <c r="H260" s="4" t="s">
        <v>121</v>
      </c>
      <c r="I260" s="4"/>
      <c r="J260" s="4"/>
      <c r="K260" s="4">
        <v>216</v>
      </c>
      <c r="L260" s="4">
        <v>8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8" ht="13" x14ac:dyDescent="0.3">
      <c r="A261" s="4">
        <v>50</v>
      </c>
      <c r="B261" s="4">
        <v>0</v>
      </c>
      <c r="C261" s="4">
        <v>0</v>
      </c>
      <c r="D261" s="4">
        <v>1</v>
      </c>
      <c r="E261" s="4">
        <v>223</v>
      </c>
      <c r="F261" s="4">
        <f>ROUND(Source!AQ251,O261)</f>
        <v>0</v>
      </c>
      <c r="G261" s="4" t="s">
        <v>122</v>
      </c>
      <c r="H261" s="4" t="s">
        <v>123</v>
      </c>
      <c r="I261" s="4"/>
      <c r="J261" s="4"/>
      <c r="K261" s="4">
        <v>223</v>
      </c>
      <c r="L261" s="4">
        <v>9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0</v>
      </c>
      <c r="X261" s="4">
        <v>1</v>
      </c>
      <c r="Y261" s="4">
        <v>0</v>
      </c>
      <c r="Z261" s="4"/>
      <c r="AA261" s="4"/>
      <c r="AB261" s="4"/>
    </row>
    <row r="262" spans="1:28" ht="13" x14ac:dyDescent="0.3">
      <c r="A262" s="4">
        <v>50</v>
      </c>
      <c r="B262" s="4">
        <v>0</v>
      </c>
      <c r="C262" s="4">
        <v>0</v>
      </c>
      <c r="D262" s="4">
        <v>1</v>
      </c>
      <c r="E262" s="4">
        <v>229</v>
      </c>
      <c r="F262" s="4">
        <f>ROUND(Source!AZ251,O262)</f>
        <v>0</v>
      </c>
      <c r="G262" s="4" t="s">
        <v>124</v>
      </c>
      <c r="H262" s="4" t="s">
        <v>125</v>
      </c>
      <c r="I262" s="4"/>
      <c r="J262" s="4"/>
      <c r="K262" s="4">
        <v>229</v>
      </c>
      <c r="L262" s="4">
        <v>10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0</v>
      </c>
      <c r="X262" s="4">
        <v>1</v>
      </c>
      <c r="Y262" s="4">
        <v>0</v>
      </c>
      <c r="Z262" s="4"/>
      <c r="AA262" s="4"/>
      <c r="AB262" s="4"/>
    </row>
    <row r="263" spans="1:28" ht="13" x14ac:dyDescent="0.3">
      <c r="A263" s="4">
        <v>50</v>
      </c>
      <c r="B263" s="4">
        <v>0</v>
      </c>
      <c r="C263" s="4">
        <v>0</v>
      </c>
      <c r="D263" s="4">
        <v>1</v>
      </c>
      <c r="E263" s="4">
        <v>203</v>
      </c>
      <c r="F263" s="4">
        <f>ROUND(Source!Q251,O263)</f>
        <v>63570006.670000002</v>
      </c>
      <c r="G263" s="4" t="s">
        <v>126</v>
      </c>
      <c r="H263" s="4" t="s">
        <v>127</v>
      </c>
      <c r="I263" s="4"/>
      <c r="J263" s="4"/>
      <c r="K263" s="4">
        <v>203</v>
      </c>
      <c r="L263" s="4">
        <v>11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63570006.670000002</v>
      </c>
      <c r="X263" s="4">
        <v>1</v>
      </c>
      <c r="Y263" s="4">
        <v>63570006.670000002</v>
      </c>
      <c r="Z263" s="4"/>
      <c r="AA263" s="4"/>
      <c r="AB263" s="4"/>
    </row>
    <row r="264" spans="1:28" ht="13" x14ac:dyDescent="0.3">
      <c r="A264" s="4">
        <v>50</v>
      </c>
      <c r="B264" s="4">
        <v>0</v>
      </c>
      <c r="C264" s="4">
        <v>0</v>
      </c>
      <c r="D264" s="4">
        <v>1</v>
      </c>
      <c r="E264" s="4">
        <v>231</v>
      </c>
      <c r="F264" s="4">
        <f>ROUND(Source!BB251,O264)</f>
        <v>0</v>
      </c>
      <c r="G264" s="4" t="s">
        <v>128</v>
      </c>
      <c r="H264" s="4" t="s">
        <v>129</v>
      </c>
      <c r="I264" s="4"/>
      <c r="J264" s="4"/>
      <c r="K264" s="4">
        <v>231</v>
      </c>
      <c r="L264" s="4">
        <v>12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0</v>
      </c>
      <c r="X264" s="4">
        <v>1</v>
      </c>
      <c r="Y264" s="4">
        <v>0</v>
      </c>
      <c r="Z264" s="4"/>
      <c r="AA264" s="4"/>
      <c r="AB264" s="4"/>
    </row>
    <row r="265" spans="1:28" ht="13" x14ac:dyDescent="0.3">
      <c r="A265" s="4">
        <v>50</v>
      </c>
      <c r="B265" s="4">
        <v>0</v>
      </c>
      <c r="C265" s="4">
        <v>0</v>
      </c>
      <c r="D265" s="4">
        <v>1</v>
      </c>
      <c r="E265" s="4">
        <v>204</v>
      </c>
      <c r="F265" s="4">
        <f>ROUND(Source!R251,O265)</f>
        <v>27941466.399999999</v>
      </c>
      <c r="G265" s="4" t="s">
        <v>130</v>
      </c>
      <c r="H265" s="4" t="s">
        <v>131</v>
      </c>
      <c r="I265" s="4"/>
      <c r="J265" s="4"/>
      <c r="K265" s="4">
        <v>204</v>
      </c>
      <c r="L265" s="4">
        <v>13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27941466.399999999</v>
      </c>
      <c r="X265" s="4">
        <v>1</v>
      </c>
      <c r="Y265" s="4">
        <v>27941466.399999999</v>
      </c>
      <c r="Z265" s="4"/>
      <c r="AA265" s="4"/>
      <c r="AB265" s="4"/>
    </row>
    <row r="266" spans="1:28" ht="13" x14ac:dyDescent="0.3">
      <c r="A266" s="4">
        <v>50</v>
      </c>
      <c r="B266" s="4">
        <v>0</v>
      </c>
      <c r="C266" s="4">
        <v>0</v>
      </c>
      <c r="D266" s="4">
        <v>1</v>
      </c>
      <c r="E266" s="4">
        <v>205</v>
      </c>
      <c r="F266" s="4">
        <f>ROUND(Source!S251,O266)</f>
        <v>40220568.07</v>
      </c>
      <c r="G266" s="4" t="s">
        <v>132</v>
      </c>
      <c r="H266" s="4" t="s">
        <v>133</v>
      </c>
      <c r="I266" s="4"/>
      <c r="J266" s="4"/>
      <c r="K266" s="4">
        <v>205</v>
      </c>
      <c r="L266" s="4">
        <v>14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40220568.07</v>
      </c>
      <c r="X266" s="4">
        <v>1</v>
      </c>
      <c r="Y266" s="4">
        <v>40220568.07</v>
      </c>
      <c r="Z266" s="4"/>
      <c r="AA266" s="4"/>
      <c r="AB266" s="4"/>
    </row>
    <row r="267" spans="1:28" ht="13" x14ac:dyDescent="0.3">
      <c r="A267" s="4">
        <v>50</v>
      </c>
      <c r="B267" s="4">
        <v>0</v>
      </c>
      <c r="C267" s="4">
        <v>0</v>
      </c>
      <c r="D267" s="4">
        <v>1</v>
      </c>
      <c r="E267" s="4">
        <v>232</v>
      </c>
      <c r="F267" s="4">
        <f>ROUND(Source!BC251,O267)</f>
        <v>0</v>
      </c>
      <c r="G267" s="4" t="s">
        <v>134</v>
      </c>
      <c r="H267" s="4" t="s">
        <v>135</v>
      </c>
      <c r="I267" s="4"/>
      <c r="J267" s="4"/>
      <c r="K267" s="4">
        <v>232</v>
      </c>
      <c r="L267" s="4">
        <v>15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8" ht="13" x14ac:dyDescent="0.3">
      <c r="A268" s="4">
        <v>50</v>
      </c>
      <c r="B268" s="4">
        <v>0</v>
      </c>
      <c r="C268" s="4">
        <v>0</v>
      </c>
      <c r="D268" s="4">
        <v>1</v>
      </c>
      <c r="E268" s="4">
        <v>214</v>
      </c>
      <c r="F268" s="4">
        <f>ROUND(Source!AS251,O268)</f>
        <v>0</v>
      </c>
      <c r="G268" s="4" t="s">
        <v>136</v>
      </c>
      <c r="H268" s="4" t="s">
        <v>137</v>
      </c>
      <c r="I268" s="4"/>
      <c r="J268" s="4"/>
      <c r="K268" s="4">
        <v>214</v>
      </c>
      <c r="L268" s="4">
        <v>16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0</v>
      </c>
      <c r="X268" s="4">
        <v>1</v>
      </c>
      <c r="Y268" s="4">
        <v>0</v>
      </c>
      <c r="Z268" s="4"/>
      <c r="AA268" s="4"/>
      <c r="AB268" s="4"/>
    </row>
    <row r="269" spans="1:28" ht="13" x14ac:dyDescent="0.3">
      <c r="A269" s="4">
        <v>50</v>
      </c>
      <c r="B269" s="4">
        <v>0</v>
      </c>
      <c r="C269" s="4">
        <v>0</v>
      </c>
      <c r="D269" s="4">
        <v>1</v>
      </c>
      <c r="E269" s="4">
        <v>215</v>
      </c>
      <c r="F269" s="4">
        <f>ROUND(Source!AT251,O269)</f>
        <v>0</v>
      </c>
      <c r="G269" s="4" t="s">
        <v>138</v>
      </c>
      <c r="H269" s="4" t="s">
        <v>139</v>
      </c>
      <c r="I269" s="4"/>
      <c r="J269" s="4"/>
      <c r="K269" s="4">
        <v>215</v>
      </c>
      <c r="L269" s="4">
        <v>17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0</v>
      </c>
      <c r="X269" s="4">
        <v>1</v>
      </c>
      <c r="Y269" s="4">
        <v>0</v>
      </c>
      <c r="Z269" s="4"/>
      <c r="AA269" s="4"/>
      <c r="AB269" s="4"/>
    </row>
    <row r="270" spans="1:28" ht="13" x14ac:dyDescent="0.3">
      <c r="A270" s="4">
        <v>50</v>
      </c>
      <c r="B270" s="4">
        <v>0</v>
      </c>
      <c r="C270" s="4">
        <v>0</v>
      </c>
      <c r="D270" s="4">
        <v>1</v>
      </c>
      <c r="E270" s="4">
        <v>217</v>
      </c>
      <c r="F270" s="4">
        <f>ROUND(Source!AU251,O270)</f>
        <v>177415188.34999999</v>
      </c>
      <c r="G270" s="4" t="s">
        <v>140</v>
      </c>
      <c r="H270" s="4" t="s">
        <v>141</v>
      </c>
      <c r="I270" s="4"/>
      <c r="J270" s="4"/>
      <c r="K270" s="4">
        <v>217</v>
      </c>
      <c r="L270" s="4">
        <v>18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177415188.34999999</v>
      </c>
      <c r="X270" s="4">
        <v>1</v>
      </c>
      <c r="Y270" s="4">
        <v>177415188.34999999</v>
      </c>
      <c r="Z270" s="4"/>
      <c r="AA270" s="4"/>
      <c r="AB270" s="4"/>
    </row>
    <row r="271" spans="1:28" ht="13" x14ac:dyDescent="0.3">
      <c r="A271" s="4">
        <v>50</v>
      </c>
      <c r="B271" s="4">
        <v>0</v>
      </c>
      <c r="C271" s="4">
        <v>0</v>
      </c>
      <c r="D271" s="4">
        <v>1</v>
      </c>
      <c r="E271" s="4">
        <v>230</v>
      </c>
      <c r="F271" s="4">
        <f>ROUND(Source!BA251,O271)</f>
        <v>0</v>
      </c>
      <c r="G271" s="4" t="s">
        <v>142</v>
      </c>
      <c r="H271" s="4" t="s">
        <v>143</v>
      </c>
      <c r="I271" s="4"/>
      <c r="J271" s="4"/>
      <c r="K271" s="4">
        <v>230</v>
      </c>
      <c r="L271" s="4">
        <v>19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0</v>
      </c>
      <c r="X271" s="4">
        <v>1</v>
      </c>
      <c r="Y271" s="4">
        <v>0</v>
      </c>
      <c r="Z271" s="4"/>
      <c r="AA271" s="4"/>
      <c r="AB271" s="4"/>
    </row>
    <row r="272" spans="1:28" ht="13" x14ac:dyDescent="0.3">
      <c r="A272" s="4">
        <v>50</v>
      </c>
      <c r="B272" s="4">
        <v>0</v>
      </c>
      <c r="C272" s="4">
        <v>0</v>
      </c>
      <c r="D272" s="4">
        <v>1</v>
      </c>
      <c r="E272" s="4">
        <v>206</v>
      </c>
      <c r="F272" s="4">
        <f>ROUND(Source!T251,O272)</f>
        <v>0</v>
      </c>
      <c r="G272" s="4" t="s">
        <v>144</v>
      </c>
      <c r="H272" s="4" t="s">
        <v>145</v>
      </c>
      <c r="I272" s="4"/>
      <c r="J272" s="4"/>
      <c r="K272" s="4">
        <v>206</v>
      </c>
      <c r="L272" s="4">
        <v>20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0</v>
      </c>
      <c r="X272" s="4">
        <v>1</v>
      </c>
      <c r="Y272" s="4">
        <v>0</v>
      </c>
      <c r="Z272" s="4"/>
      <c r="AA272" s="4"/>
      <c r="AB272" s="4"/>
    </row>
    <row r="273" spans="1:28" ht="13" x14ac:dyDescent="0.3">
      <c r="A273" s="4">
        <v>50</v>
      </c>
      <c r="B273" s="4">
        <v>0</v>
      </c>
      <c r="C273" s="4">
        <v>0</v>
      </c>
      <c r="D273" s="4">
        <v>1</v>
      </c>
      <c r="E273" s="4">
        <v>207</v>
      </c>
      <c r="F273" s="4">
        <f>Source!U251</f>
        <v>89022.805405999999</v>
      </c>
      <c r="G273" s="4" t="s">
        <v>146</v>
      </c>
      <c r="H273" s="4" t="s">
        <v>147</v>
      </c>
      <c r="I273" s="4"/>
      <c r="J273" s="4"/>
      <c r="K273" s="4">
        <v>207</v>
      </c>
      <c r="L273" s="4">
        <v>21</v>
      </c>
      <c r="M273" s="4">
        <v>3</v>
      </c>
      <c r="N273" s="4" t="s">
        <v>3</v>
      </c>
      <c r="O273" s="4">
        <v>-1</v>
      </c>
      <c r="P273" s="4"/>
      <c r="Q273" s="4"/>
      <c r="R273" s="4"/>
      <c r="S273" s="4"/>
      <c r="T273" s="4"/>
      <c r="U273" s="4"/>
      <c r="V273" s="4"/>
      <c r="W273" s="4">
        <v>89022.805405999999</v>
      </c>
      <c r="X273" s="4">
        <v>1</v>
      </c>
      <c r="Y273" s="4">
        <v>89022.805405999999</v>
      </c>
      <c r="Z273" s="4"/>
      <c r="AA273" s="4"/>
      <c r="AB273" s="4"/>
    </row>
    <row r="274" spans="1:28" ht="13" x14ac:dyDescent="0.3">
      <c r="A274" s="4">
        <v>50</v>
      </c>
      <c r="B274" s="4">
        <v>0</v>
      </c>
      <c r="C274" s="4">
        <v>0</v>
      </c>
      <c r="D274" s="4">
        <v>1</v>
      </c>
      <c r="E274" s="4">
        <v>208</v>
      </c>
      <c r="F274" s="4">
        <f>Source!V251</f>
        <v>0</v>
      </c>
      <c r="G274" s="4" t="s">
        <v>148</v>
      </c>
      <c r="H274" s="4" t="s">
        <v>149</v>
      </c>
      <c r="I274" s="4"/>
      <c r="J274" s="4"/>
      <c r="K274" s="4">
        <v>208</v>
      </c>
      <c r="L274" s="4">
        <v>22</v>
      </c>
      <c r="M274" s="4">
        <v>3</v>
      </c>
      <c r="N274" s="4" t="s">
        <v>3</v>
      </c>
      <c r="O274" s="4">
        <v>-1</v>
      </c>
      <c r="P274" s="4"/>
      <c r="Q274" s="4"/>
      <c r="R274" s="4"/>
      <c r="S274" s="4"/>
      <c r="T274" s="4"/>
      <c r="U274" s="4"/>
      <c r="V274" s="4"/>
      <c r="W274" s="4">
        <v>0</v>
      </c>
      <c r="X274" s="4">
        <v>1</v>
      </c>
      <c r="Y274" s="4">
        <v>0</v>
      </c>
      <c r="Z274" s="4"/>
      <c r="AA274" s="4"/>
      <c r="AB274" s="4"/>
    </row>
    <row r="275" spans="1:28" ht="13" x14ac:dyDescent="0.3">
      <c r="A275" s="4">
        <v>50</v>
      </c>
      <c r="B275" s="4">
        <v>0</v>
      </c>
      <c r="C275" s="4">
        <v>0</v>
      </c>
      <c r="D275" s="4">
        <v>1</v>
      </c>
      <c r="E275" s="4">
        <v>209</v>
      </c>
      <c r="F275" s="4">
        <f>ROUND(Source!W251,O275)</f>
        <v>0</v>
      </c>
      <c r="G275" s="4" t="s">
        <v>150</v>
      </c>
      <c r="H275" s="4" t="s">
        <v>151</v>
      </c>
      <c r="I275" s="4"/>
      <c r="J275" s="4"/>
      <c r="K275" s="4">
        <v>209</v>
      </c>
      <c r="L275" s="4">
        <v>23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0</v>
      </c>
      <c r="X275" s="4">
        <v>1</v>
      </c>
      <c r="Y275" s="4">
        <v>0</v>
      </c>
      <c r="Z275" s="4"/>
      <c r="AA275" s="4"/>
      <c r="AB275" s="4"/>
    </row>
    <row r="276" spans="1:28" ht="13" x14ac:dyDescent="0.3">
      <c r="A276" s="4">
        <v>50</v>
      </c>
      <c r="B276" s="4">
        <v>0</v>
      </c>
      <c r="C276" s="4">
        <v>0</v>
      </c>
      <c r="D276" s="4">
        <v>1</v>
      </c>
      <c r="E276" s="4">
        <v>233</v>
      </c>
      <c r="F276" s="4">
        <f>ROUND(Source!BD251,O276)</f>
        <v>0</v>
      </c>
      <c r="G276" s="4" t="s">
        <v>152</v>
      </c>
      <c r="H276" s="4" t="s">
        <v>153</v>
      </c>
      <c r="I276" s="4"/>
      <c r="J276" s="4"/>
      <c r="K276" s="4">
        <v>233</v>
      </c>
      <c r="L276" s="4">
        <v>24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0</v>
      </c>
      <c r="X276" s="4">
        <v>1</v>
      </c>
      <c r="Y276" s="4">
        <v>0</v>
      </c>
      <c r="Z276" s="4"/>
      <c r="AA276" s="4"/>
      <c r="AB276" s="4"/>
    </row>
    <row r="277" spans="1:28" ht="13" x14ac:dyDescent="0.3">
      <c r="A277" s="4">
        <v>50</v>
      </c>
      <c r="B277" s="4">
        <v>0</v>
      </c>
      <c r="C277" s="4">
        <v>0</v>
      </c>
      <c r="D277" s="4">
        <v>1</v>
      </c>
      <c r="E277" s="4">
        <v>210</v>
      </c>
      <c r="F277" s="4">
        <f>ROUND(Source!X251,O277)</f>
        <v>28154397.670000002</v>
      </c>
      <c r="G277" s="4" t="s">
        <v>154</v>
      </c>
      <c r="H277" s="4" t="s">
        <v>155</v>
      </c>
      <c r="I277" s="4"/>
      <c r="J277" s="4"/>
      <c r="K277" s="4">
        <v>210</v>
      </c>
      <c r="L277" s="4">
        <v>25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28154397.670000002</v>
      </c>
      <c r="X277" s="4">
        <v>1</v>
      </c>
      <c r="Y277" s="4">
        <v>28154397.670000002</v>
      </c>
      <c r="Z277" s="4"/>
      <c r="AA277" s="4"/>
      <c r="AB277" s="4"/>
    </row>
    <row r="278" spans="1:28" ht="13" x14ac:dyDescent="0.3">
      <c r="A278" s="4">
        <v>50</v>
      </c>
      <c r="B278" s="4">
        <v>0</v>
      </c>
      <c r="C278" s="4">
        <v>0</v>
      </c>
      <c r="D278" s="4">
        <v>1</v>
      </c>
      <c r="E278" s="4">
        <v>211</v>
      </c>
      <c r="F278" s="4">
        <f>ROUND(Source!Y251,O278)</f>
        <v>4022056.82</v>
      </c>
      <c r="G278" s="4" t="s">
        <v>156</v>
      </c>
      <c r="H278" s="4" t="s">
        <v>157</v>
      </c>
      <c r="I278" s="4"/>
      <c r="J278" s="4"/>
      <c r="K278" s="4">
        <v>211</v>
      </c>
      <c r="L278" s="4">
        <v>26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4022056.82</v>
      </c>
      <c r="X278" s="4">
        <v>1</v>
      </c>
      <c r="Y278" s="4">
        <v>4022056.82</v>
      </c>
      <c r="Z278" s="4"/>
      <c r="AA278" s="4"/>
      <c r="AB278" s="4"/>
    </row>
    <row r="279" spans="1:28" ht="13" x14ac:dyDescent="0.3">
      <c r="A279" s="4">
        <v>50</v>
      </c>
      <c r="B279" s="4">
        <v>0</v>
      </c>
      <c r="C279" s="4">
        <v>0</v>
      </c>
      <c r="D279" s="4">
        <v>1</v>
      </c>
      <c r="E279" s="4">
        <v>224</v>
      </c>
      <c r="F279" s="4">
        <f>ROUND(Source!AR251,O279)</f>
        <v>177415188.34999999</v>
      </c>
      <c r="G279" s="4" t="s">
        <v>158</v>
      </c>
      <c r="H279" s="4" t="s">
        <v>159</v>
      </c>
      <c r="I279" s="4"/>
      <c r="J279" s="4"/>
      <c r="K279" s="4">
        <v>224</v>
      </c>
      <c r="L279" s="4">
        <v>27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177415188.34999999</v>
      </c>
      <c r="X279" s="4">
        <v>1</v>
      </c>
      <c r="Y279" s="4">
        <v>177415188.34999999</v>
      </c>
      <c r="Z279" s="4"/>
      <c r="AA279" s="4"/>
      <c r="AB279" s="4"/>
    </row>
    <row r="280" spans="1:28" ht="13" x14ac:dyDescent="0.3">
      <c r="A280" s="4">
        <v>50</v>
      </c>
      <c r="B280" s="4">
        <v>1</v>
      </c>
      <c r="C280" s="4">
        <v>0</v>
      </c>
      <c r="D280" s="4">
        <v>2</v>
      </c>
      <c r="E280" s="4">
        <v>0</v>
      </c>
      <c r="F280" s="4">
        <f>ROUND(F279,O280)</f>
        <v>177415188.34999999</v>
      </c>
      <c r="G280" s="4" t="s">
        <v>275</v>
      </c>
      <c r="H280" s="4" t="s">
        <v>276</v>
      </c>
      <c r="I280" s="4"/>
      <c r="J280" s="4"/>
      <c r="K280" s="4">
        <v>212</v>
      </c>
      <c r="L280" s="4">
        <v>28</v>
      </c>
      <c r="M280" s="4">
        <v>0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177415188.34999999</v>
      </c>
      <c r="X280" s="4">
        <v>1</v>
      </c>
      <c r="Y280" s="4">
        <v>177415188.34999999</v>
      </c>
      <c r="Z280" s="4"/>
      <c r="AA280" s="4"/>
      <c r="AB280" s="4"/>
    </row>
    <row r="281" spans="1:28" ht="13" x14ac:dyDescent="0.3">
      <c r="A281" s="4">
        <v>50</v>
      </c>
      <c r="B281" s="4">
        <v>1</v>
      </c>
      <c r="C281" s="4">
        <v>0</v>
      </c>
      <c r="D281" s="4">
        <v>2</v>
      </c>
      <c r="E281" s="4">
        <v>0</v>
      </c>
      <c r="F281" s="4">
        <f>ROUND(F280*0.22,O281)</f>
        <v>39031341.439999998</v>
      </c>
      <c r="G281" s="4" t="s">
        <v>277</v>
      </c>
      <c r="H281" s="4" t="s">
        <v>401</v>
      </c>
      <c r="I281" s="4"/>
      <c r="J281" s="4"/>
      <c r="K281" s="4">
        <v>212</v>
      </c>
      <c r="L281" s="4">
        <v>29</v>
      </c>
      <c r="M281" s="4">
        <v>0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35483037.670000002</v>
      </c>
      <c r="X281" s="4">
        <v>1</v>
      </c>
      <c r="Y281" s="4">
        <v>35483037.670000002</v>
      </c>
      <c r="Z281" s="4"/>
      <c r="AA281" s="4"/>
      <c r="AB281" s="4"/>
    </row>
    <row r="282" spans="1:28" ht="13" x14ac:dyDescent="0.3">
      <c r="A282" s="4">
        <v>50</v>
      </c>
      <c r="B282" s="4">
        <v>1</v>
      </c>
      <c r="C282" s="4">
        <v>0</v>
      </c>
      <c r="D282" s="4">
        <v>2</v>
      </c>
      <c r="E282" s="4">
        <v>213</v>
      </c>
      <c r="F282" s="4">
        <f>ROUND(F280+F281,O282)</f>
        <v>216446529.78999999</v>
      </c>
      <c r="G282" s="4" t="s">
        <v>278</v>
      </c>
      <c r="H282" s="4" t="s">
        <v>158</v>
      </c>
      <c r="I282" s="4"/>
      <c r="J282" s="4"/>
      <c r="K282" s="4">
        <v>212</v>
      </c>
      <c r="L282" s="4">
        <v>30</v>
      </c>
      <c r="M282" s="4">
        <v>0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212898226.02000001</v>
      </c>
      <c r="X282" s="4">
        <v>1</v>
      </c>
      <c r="Y282" s="4">
        <v>212898226.02000001</v>
      </c>
      <c r="Z282" s="4"/>
      <c r="AA282" s="4"/>
      <c r="AB282" s="4"/>
    </row>
    <row r="285" spans="1:28" x14ac:dyDescent="0.25">
      <c r="A285">
        <v>-1</v>
      </c>
    </row>
    <row r="287" spans="1:28" ht="13" x14ac:dyDescent="0.3">
      <c r="A287" s="3">
        <v>75</v>
      </c>
      <c r="B287" s="3" t="s">
        <v>279</v>
      </c>
      <c r="C287" s="3">
        <v>2025</v>
      </c>
      <c r="D287" s="3">
        <v>4</v>
      </c>
      <c r="E287" s="3">
        <v>0</v>
      </c>
      <c r="F287" s="3">
        <v>0</v>
      </c>
      <c r="G287" s="3">
        <v>0</v>
      </c>
      <c r="H287" s="3">
        <v>1</v>
      </c>
      <c r="I287" s="3">
        <v>0</v>
      </c>
      <c r="J287" s="3">
        <v>1</v>
      </c>
      <c r="K287" s="3">
        <v>78</v>
      </c>
      <c r="L287" s="3">
        <v>30</v>
      </c>
      <c r="M287" s="3">
        <v>0</v>
      </c>
      <c r="N287" s="3">
        <v>80889732</v>
      </c>
      <c r="O287" s="3">
        <v>1</v>
      </c>
    </row>
    <row r="291" spans="1:5" x14ac:dyDescent="0.25">
      <c r="A291">
        <v>65</v>
      </c>
      <c r="C291">
        <v>1</v>
      </c>
      <c r="D291">
        <v>0</v>
      </c>
      <c r="E291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69756-9874-40D2-9AB2-D2B11E45A857}">
  <dimension ref="A1:EC54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280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33" ht="13" x14ac:dyDescent="0.3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ht="13" x14ac:dyDescent="0.3">
      <c r="A14" s="1">
        <v>22</v>
      </c>
      <c r="B14" s="1">
        <v>1</v>
      </c>
      <c r="C14" s="1">
        <v>0</v>
      </c>
      <c r="D14" s="1">
        <v>80889732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5">
      <c r="A16" s="5">
        <v>3</v>
      </c>
      <c r="B16" s="5">
        <v>1</v>
      </c>
      <c r="C16" s="5" t="s">
        <v>12</v>
      </c>
      <c r="D16" s="5" t="s">
        <v>13</v>
      </c>
      <c r="E16" s="6">
        <f>ROUND((Source!F236)/1000,2)</f>
        <v>0</v>
      </c>
      <c r="F16" s="6">
        <f>ROUND((Source!F237)/1000,2)</f>
        <v>0</v>
      </c>
      <c r="G16" s="6">
        <f>ROUND((Source!F228)/1000,2)</f>
        <v>0</v>
      </c>
      <c r="H16" s="6">
        <f>ROUND((Source!F238)/1000+(Source!F239)/1000,2)</f>
        <v>177415.19</v>
      </c>
      <c r="I16" s="6">
        <f>E16+F16+G16+H16</f>
        <v>177415.19</v>
      </c>
      <c r="J16" s="6">
        <f>ROUND((Source!F234+Source!F233)/1000,2)</f>
        <v>68162.03</v>
      </c>
      <c r="K16" s="6">
        <v>126333.33</v>
      </c>
      <c r="L16" s="6">
        <v>0</v>
      </c>
      <c r="M16" s="6">
        <v>0</v>
      </c>
      <c r="N16" s="6">
        <f>I16+L16+M16</f>
        <v>177415.19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115061950.14</v>
      </c>
      <c r="AU16" s="6">
        <v>11271375.4</v>
      </c>
      <c r="AV16" s="6">
        <v>0</v>
      </c>
      <c r="AW16" s="6">
        <v>0</v>
      </c>
      <c r="AX16" s="6">
        <v>0</v>
      </c>
      <c r="AY16" s="6">
        <v>63570006.670000002</v>
      </c>
      <c r="AZ16" s="6">
        <v>27941466.399999999</v>
      </c>
      <c r="BA16" s="6">
        <v>40220568.07</v>
      </c>
      <c r="BB16" s="6">
        <v>0</v>
      </c>
      <c r="BC16" s="6">
        <v>0</v>
      </c>
      <c r="BD16" s="6">
        <v>177415188.34999999</v>
      </c>
      <c r="BE16" s="6">
        <v>0</v>
      </c>
      <c r="BF16" s="6">
        <v>89022.805405999999</v>
      </c>
      <c r="BG16" s="6">
        <v>0</v>
      </c>
      <c r="BH16" s="6">
        <v>0</v>
      </c>
      <c r="BI16" s="6">
        <v>28154397.670000002</v>
      </c>
      <c r="BJ16" s="6">
        <v>4022056.82</v>
      </c>
      <c r="BK16" s="6">
        <v>177415188.34999999</v>
      </c>
    </row>
    <row r="18" spans="1:16" x14ac:dyDescent="0.25">
      <c r="A18">
        <v>51</v>
      </c>
      <c r="E18">
        <v>0</v>
      </c>
      <c r="F18">
        <v>0</v>
      </c>
      <c r="G18">
        <v>0</v>
      </c>
      <c r="H18">
        <v>177415.19</v>
      </c>
      <c r="I18">
        <v>177415.19</v>
      </c>
      <c r="J18">
        <v>68162.03</v>
      </c>
      <c r="K18">
        <v>126333.33</v>
      </c>
      <c r="L18">
        <v>0</v>
      </c>
      <c r="M18">
        <v>0</v>
      </c>
      <c r="N18">
        <v>177415.19</v>
      </c>
    </row>
    <row r="20" spans="1:16" ht="13" x14ac:dyDescent="0.3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115061950.14</v>
      </c>
      <c r="G20" s="4" t="s">
        <v>106</v>
      </c>
      <c r="H20" s="4" t="s">
        <v>107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6" ht="13" x14ac:dyDescent="0.3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11271375.4</v>
      </c>
      <c r="G21" s="4" t="s">
        <v>108</v>
      </c>
      <c r="H21" s="4" t="s">
        <v>109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6" ht="13" x14ac:dyDescent="0.3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110</v>
      </c>
      <c r="H22" s="4" t="s">
        <v>111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6" ht="13" x14ac:dyDescent="0.3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11271375.4</v>
      </c>
      <c r="G23" s="4" t="s">
        <v>112</v>
      </c>
      <c r="H23" s="4" t="s">
        <v>113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6" ht="13" x14ac:dyDescent="0.3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11271375.4</v>
      </c>
      <c r="G24" s="4" t="s">
        <v>114</v>
      </c>
      <c r="H24" s="4" t="s">
        <v>115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6" ht="13" x14ac:dyDescent="0.3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116</v>
      </c>
      <c r="H25" s="4" t="s">
        <v>117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6" ht="13" x14ac:dyDescent="0.3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11271375.4</v>
      </c>
      <c r="G26" s="4" t="s">
        <v>118</v>
      </c>
      <c r="H26" s="4" t="s">
        <v>119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6" ht="13" x14ac:dyDescent="0.3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120</v>
      </c>
      <c r="H27" s="4" t="s">
        <v>121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6" ht="13" x14ac:dyDescent="0.3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122</v>
      </c>
      <c r="H28" s="4" t="s">
        <v>123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6" ht="13" x14ac:dyDescent="0.3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124</v>
      </c>
      <c r="H29" s="4" t="s">
        <v>125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6" ht="13" x14ac:dyDescent="0.3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63570006.670000002</v>
      </c>
      <c r="G30" s="4" t="s">
        <v>126</v>
      </c>
      <c r="H30" s="4" t="s">
        <v>127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6" ht="13" x14ac:dyDescent="0.3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128</v>
      </c>
      <c r="H31" s="4" t="s">
        <v>129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6" ht="13" x14ac:dyDescent="0.3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27941466.399999999</v>
      </c>
      <c r="G32" s="4" t="s">
        <v>130</v>
      </c>
      <c r="H32" s="4" t="s">
        <v>131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ht="13" x14ac:dyDescent="0.3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40220568.07</v>
      </c>
      <c r="G33" s="4" t="s">
        <v>132</v>
      </c>
      <c r="H33" s="4" t="s">
        <v>133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ht="13" x14ac:dyDescent="0.3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134</v>
      </c>
      <c r="H34" s="4" t="s">
        <v>135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ht="13" x14ac:dyDescent="0.3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136</v>
      </c>
      <c r="H35" s="4" t="s">
        <v>137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ht="13" x14ac:dyDescent="0.3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138</v>
      </c>
      <c r="H36" s="4" t="s">
        <v>139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ht="13" x14ac:dyDescent="0.3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177415188.34999999</v>
      </c>
      <c r="G37" s="4" t="s">
        <v>140</v>
      </c>
      <c r="H37" s="4" t="s">
        <v>141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ht="13" x14ac:dyDescent="0.3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142</v>
      </c>
      <c r="H38" s="4" t="s">
        <v>143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ht="13" x14ac:dyDescent="0.3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144</v>
      </c>
      <c r="H39" s="4" t="s">
        <v>145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ht="13" x14ac:dyDescent="0.3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89022.805405999999</v>
      </c>
      <c r="G40" s="4" t="s">
        <v>146</v>
      </c>
      <c r="H40" s="4" t="s">
        <v>147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ht="13" x14ac:dyDescent="0.3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148</v>
      </c>
      <c r="H41" s="4" t="s">
        <v>149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ht="13" x14ac:dyDescent="0.3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150</v>
      </c>
      <c r="H42" s="4" t="s">
        <v>151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ht="13" x14ac:dyDescent="0.3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152</v>
      </c>
      <c r="H43" s="4" t="s">
        <v>153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ht="13" x14ac:dyDescent="0.3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28154397.670000002</v>
      </c>
      <c r="G44" s="4" t="s">
        <v>154</v>
      </c>
      <c r="H44" s="4" t="s">
        <v>155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ht="13" x14ac:dyDescent="0.3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4022056.82</v>
      </c>
      <c r="G45" s="4" t="s">
        <v>156</v>
      </c>
      <c r="H45" s="4" t="s">
        <v>157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ht="13" x14ac:dyDescent="0.3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177415188.34999999</v>
      </c>
      <c r="G46" s="4" t="s">
        <v>158</v>
      </c>
      <c r="H46" s="4" t="s">
        <v>159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ht="13" x14ac:dyDescent="0.3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177415188.34999999</v>
      </c>
      <c r="G47" s="4" t="s">
        <v>275</v>
      </c>
      <c r="H47" s="4" t="s">
        <v>276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ht="13" x14ac:dyDescent="0.3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35483037.670000002</v>
      </c>
      <c r="G48" s="4" t="s">
        <v>277</v>
      </c>
      <c r="H48" s="4" t="s">
        <v>273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ht="13" x14ac:dyDescent="0.3">
      <c r="A49" s="4">
        <v>50</v>
      </c>
      <c r="B49" s="4">
        <v>1</v>
      </c>
      <c r="C49" s="4">
        <v>0</v>
      </c>
      <c r="D49" s="4">
        <v>2</v>
      </c>
      <c r="E49" s="4">
        <v>213</v>
      </c>
      <c r="F49" s="4">
        <v>212898226.02000001</v>
      </c>
      <c r="G49" s="4" t="s">
        <v>278</v>
      </c>
      <c r="H49" s="4" t="s">
        <v>158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5">
      <c r="A51">
        <v>-1</v>
      </c>
    </row>
    <row r="54" spans="1:16" ht="13" x14ac:dyDescent="0.3">
      <c r="A54" s="3">
        <v>75</v>
      </c>
      <c r="B54" s="3" t="s">
        <v>279</v>
      </c>
      <c r="C54" s="3">
        <v>2025</v>
      </c>
      <c r="D54" s="3">
        <v>4</v>
      </c>
      <c r="E54" s="3">
        <v>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80889732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DF3F0-AD14-47AF-84DC-24D707F121DB}">
  <dimension ref="A1:DO84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19" x14ac:dyDescent="0.25">
      <c r="A1">
        <f>ROW(Source!A32)</f>
        <v>32</v>
      </c>
      <c r="B1">
        <v>80889732</v>
      </c>
      <c r="C1">
        <v>80889919</v>
      </c>
      <c r="D1">
        <v>80213220</v>
      </c>
      <c r="E1">
        <v>1</v>
      </c>
      <c r="F1">
        <v>1</v>
      </c>
      <c r="G1">
        <v>15514512</v>
      </c>
      <c r="H1">
        <v>2</v>
      </c>
      <c r="I1" t="s">
        <v>281</v>
      </c>
      <c r="J1" t="s">
        <v>282</v>
      </c>
      <c r="K1" t="s">
        <v>283</v>
      </c>
      <c r="L1">
        <v>1368</v>
      </c>
      <c r="N1">
        <v>1011</v>
      </c>
      <c r="O1" t="s">
        <v>284</v>
      </c>
      <c r="P1" t="s">
        <v>284</v>
      </c>
      <c r="Q1">
        <v>1</v>
      </c>
      <c r="W1">
        <v>0</v>
      </c>
      <c r="X1">
        <v>645985080</v>
      </c>
      <c r="Y1">
        <f>(AT1*55)</f>
        <v>27.5</v>
      </c>
      <c r="AA1">
        <v>0</v>
      </c>
      <c r="AB1">
        <v>2515.98</v>
      </c>
      <c r="AC1">
        <v>872.98</v>
      </c>
      <c r="AD1">
        <v>0</v>
      </c>
      <c r="AE1">
        <v>0</v>
      </c>
      <c r="AF1">
        <v>2515.98</v>
      </c>
      <c r="AG1">
        <v>872.98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0.5</v>
      </c>
      <c r="AU1" t="s">
        <v>22</v>
      </c>
      <c r="AV1">
        <v>0</v>
      </c>
      <c r="AW1">
        <v>2</v>
      </c>
      <c r="AX1">
        <v>80890112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V1">
        <v>0</v>
      </c>
      <c r="CW1">
        <f>ROUND(Y1*Source!I32*DO1,9)</f>
        <v>0</v>
      </c>
      <c r="CX1">
        <f>ROUND(Y1*Source!I32,9)</f>
        <v>3398.5401999999999</v>
      </c>
      <c r="CY1">
        <f>AB1</f>
        <v>2515.98</v>
      </c>
      <c r="CZ1">
        <f>AF1</f>
        <v>2515.98</v>
      </c>
      <c r="DA1">
        <f>AJ1</f>
        <v>1</v>
      </c>
      <c r="DB1">
        <f>ROUND((ROUND(AT1*CZ1,2)*55),6)</f>
        <v>69189.45</v>
      </c>
      <c r="DC1">
        <f>ROUND((ROUND(AT1*AG1,2)*55),6)</f>
        <v>24006.95</v>
      </c>
      <c r="DD1" t="s">
        <v>3</v>
      </c>
      <c r="DE1" t="s">
        <v>3</v>
      </c>
      <c r="DF1">
        <f t="shared" ref="DF1:DF32" si="0">ROUND(ROUND(AE1,2)*CX1,2)</f>
        <v>0</v>
      </c>
      <c r="DG1">
        <f t="shared" ref="DG1:DG32" si="1">ROUND(ROUND(AF1,2)*CX1,2)</f>
        <v>8550659.1699999999</v>
      </c>
      <c r="DH1">
        <f t="shared" ref="DH1:DH32" si="2">ROUND(ROUND(AG1,2)*CX1,2)</f>
        <v>2966857.62</v>
      </c>
      <c r="DI1">
        <f t="shared" ref="DI1:DI32" si="3">ROUND(ROUND(AH1,2)*CX1,2)</f>
        <v>0</v>
      </c>
      <c r="DJ1">
        <f>DG1</f>
        <v>8550659.1699999999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5">
      <c r="A2">
        <f>ROW(Source!A33)</f>
        <v>33</v>
      </c>
      <c r="B2">
        <v>80889732</v>
      </c>
      <c r="C2">
        <v>80889920</v>
      </c>
      <c r="D2">
        <v>80199986</v>
      </c>
      <c r="E2">
        <v>15514512</v>
      </c>
      <c r="F2">
        <v>1</v>
      </c>
      <c r="G2">
        <v>15514512</v>
      </c>
      <c r="H2">
        <v>1</v>
      </c>
      <c r="I2" t="s">
        <v>285</v>
      </c>
      <c r="J2" t="s">
        <v>3</v>
      </c>
      <c r="K2" t="s">
        <v>286</v>
      </c>
      <c r="L2">
        <v>1191</v>
      </c>
      <c r="N2">
        <v>1013</v>
      </c>
      <c r="O2" t="s">
        <v>287</v>
      </c>
      <c r="P2" t="s">
        <v>287</v>
      </c>
      <c r="Q2">
        <v>1</v>
      </c>
      <c r="W2">
        <v>0</v>
      </c>
      <c r="X2">
        <v>476480486</v>
      </c>
      <c r="Y2">
        <f>(AT2*55)</f>
        <v>35.75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0.65</v>
      </c>
      <c r="AU2" t="s">
        <v>22</v>
      </c>
      <c r="AV2">
        <v>1</v>
      </c>
      <c r="AW2">
        <v>2</v>
      </c>
      <c r="AX2">
        <v>80890113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U2">
        <f>ROUND(AT2*Source!I33*AH2*AL2,2)</f>
        <v>0</v>
      </c>
      <c r="CV2">
        <f>ROUND(Y2*Source!I33,9)</f>
        <v>11045.255649999999</v>
      </c>
      <c r="CW2">
        <v>0</v>
      </c>
      <c r="CX2">
        <f>ROUND(Y2*Source!I33,9)</f>
        <v>11045.255649999999</v>
      </c>
      <c r="CY2">
        <f>AD2</f>
        <v>0</v>
      </c>
      <c r="CZ2">
        <f>AH2</f>
        <v>0</v>
      </c>
      <c r="DA2">
        <f>AL2</f>
        <v>1</v>
      </c>
      <c r="DB2">
        <f>ROUND((ROUND(AT2*CZ2,2)*55),6)</f>
        <v>0</v>
      </c>
      <c r="DC2">
        <f>ROUND((ROUND(AT2*AG2,2)*55),6)</f>
        <v>0</v>
      </c>
      <c r="DD2" t="s">
        <v>3</v>
      </c>
      <c r="DE2" t="s">
        <v>3</v>
      </c>
      <c r="DF2">
        <f t="shared" si="0"/>
        <v>0</v>
      </c>
      <c r="DG2">
        <f t="shared" si="1"/>
        <v>0</v>
      </c>
      <c r="DH2">
        <f t="shared" si="2"/>
        <v>0</v>
      </c>
      <c r="DI2">
        <f t="shared" si="3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5">
      <c r="A3">
        <f>ROW(Source!A34)</f>
        <v>34</v>
      </c>
      <c r="B3">
        <v>80889732</v>
      </c>
      <c r="C3">
        <v>80889921</v>
      </c>
      <c r="D3">
        <v>80213221</v>
      </c>
      <c r="E3">
        <v>1</v>
      </c>
      <c r="F3">
        <v>1</v>
      </c>
      <c r="G3">
        <v>15514512</v>
      </c>
      <c r="H3">
        <v>2</v>
      </c>
      <c r="I3" t="s">
        <v>288</v>
      </c>
      <c r="J3" t="s">
        <v>289</v>
      </c>
      <c r="K3" t="s">
        <v>290</v>
      </c>
      <c r="L3">
        <v>1368</v>
      </c>
      <c r="N3">
        <v>1011</v>
      </c>
      <c r="O3" t="s">
        <v>284</v>
      </c>
      <c r="P3" t="s">
        <v>284</v>
      </c>
      <c r="Q3">
        <v>1</v>
      </c>
      <c r="W3">
        <v>0</v>
      </c>
      <c r="X3">
        <v>-566548736</v>
      </c>
      <c r="Y3">
        <f>(AT3*111)</f>
        <v>28.86</v>
      </c>
      <c r="AA3">
        <v>0</v>
      </c>
      <c r="AB3">
        <v>1783.28</v>
      </c>
      <c r="AC3">
        <v>842.87</v>
      </c>
      <c r="AD3">
        <v>0</v>
      </c>
      <c r="AE3">
        <v>0</v>
      </c>
      <c r="AF3">
        <v>1783.28</v>
      </c>
      <c r="AG3">
        <v>842.87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0.26</v>
      </c>
      <c r="AU3" t="s">
        <v>35</v>
      </c>
      <c r="AV3">
        <v>0</v>
      </c>
      <c r="AW3">
        <v>2</v>
      </c>
      <c r="AX3">
        <v>80890114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ROUND(Y3*Source!I34*DO3,9)</f>
        <v>0</v>
      </c>
      <c r="CX3">
        <f>ROUND(Y3*Source!I34,9)</f>
        <v>3566.6134608000002</v>
      </c>
      <c r="CY3">
        <f>AB3</f>
        <v>1783.28</v>
      </c>
      <c r="CZ3">
        <f>AF3</f>
        <v>1783.28</v>
      </c>
      <c r="DA3">
        <f>AJ3</f>
        <v>1</v>
      </c>
      <c r="DB3">
        <f>ROUND((ROUND(AT3*CZ3,2)*111),6)</f>
        <v>51465.15</v>
      </c>
      <c r="DC3">
        <f>ROUND((ROUND(AT3*AG3,2)*111),6)</f>
        <v>24325.65</v>
      </c>
      <c r="DD3" t="s">
        <v>3</v>
      </c>
      <c r="DE3" t="s">
        <v>3</v>
      </c>
      <c r="DF3">
        <f t="shared" si="0"/>
        <v>0</v>
      </c>
      <c r="DG3">
        <f t="shared" si="1"/>
        <v>6360270.4500000002</v>
      </c>
      <c r="DH3">
        <f t="shared" si="2"/>
        <v>3006191.49</v>
      </c>
      <c r="DI3">
        <f t="shared" si="3"/>
        <v>0</v>
      </c>
      <c r="DJ3">
        <f>DG3</f>
        <v>6360270.4500000002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5">
      <c r="A4">
        <f>ROW(Source!A34)</f>
        <v>34</v>
      </c>
      <c r="B4">
        <v>80889732</v>
      </c>
      <c r="C4">
        <v>80889921</v>
      </c>
      <c r="D4">
        <v>80215470</v>
      </c>
      <c r="E4">
        <v>1</v>
      </c>
      <c r="F4">
        <v>1</v>
      </c>
      <c r="G4">
        <v>15514512</v>
      </c>
      <c r="H4">
        <v>3</v>
      </c>
      <c r="I4" t="s">
        <v>37</v>
      </c>
      <c r="J4" t="s">
        <v>40</v>
      </c>
      <c r="K4" t="s">
        <v>38</v>
      </c>
      <c r="L4">
        <v>1339</v>
      </c>
      <c r="N4">
        <v>1007</v>
      </c>
      <c r="O4" t="s">
        <v>39</v>
      </c>
      <c r="P4" t="s">
        <v>39</v>
      </c>
      <c r="Q4">
        <v>1</v>
      </c>
      <c r="W4">
        <v>1</v>
      </c>
      <c r="X4">
        <v>2112060389</v>
      </c>
      <c r="Y4">
        <f>(AT4*111)</f>
        <v>-22.200000000000003</v>
      </c>
      <c r="AA4">
        <v>54.81</v>
      </c>
      <c r="AB4">
        <v>0</v>
      </c>
      <c r="AC4">
        <v>0</v>
      </c>
      <c r="AD4">
        <v>0</v>
      </c>
      <c r="AE4">
        <v>54.81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-0.2</v>
      </c>
      <c r="AU4" t="s">
        <v>35</v>
      </c>
      <c r="AV4">
        <v>0</v>
      </c>
      <c r="AW4">
        <v>2</v>
      </c>
      <c r="AX4">
        <v>80890115</v>
      </c>
      <c r="AY4">
        <v>1</v>
      </c>
      <c r="AZ4">
        <v>6144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v>0</v>
      </c>
      <c r="CX4">
        <f>ROUND(Y4*Source!I34,9)</f>
        <v>-2743.548816</v>
      </c>
      <c r="CY4">
        <f>AA4</f>
        <v>54.81</v>
      </c>
      <c r="CZ4">
        <f>AE4</f>
        <v>54.81</v>
      </c>
      <c r="DA4">
        <f>AI4</f>
        <v>1</v>
      </c>
      <c r="DB4">
        <f>ROUND((ROUND(AT4*CZ4,2)*111),6)</f>
        <v>-1216.56</v>
      </c>
      <c r="DC4">
        <f>ROUND((ROUND(AT4*AG4,2)*111),6)</f>
        <v>0</v>
      </c>
      <c r="DD4" t="s">
        <v>3</v>
      </c>
      <c r="DE4" t="s">
        <v>3</v>
      </c>
      <c r="DF4">
        <f t="shared" si="0"/>
        <v>-150373.91</v>
      </c>
      <c r="DG4">
        <f t="shared" si="1"/>
        <v>0</v>
      </c>
      <c r="DH4">
        <f t="shared" si="2"/>
        <v>0</v>
      </c>
      <c r="DI4">
        <f t="shared" si="3"/>
        <v>0</v>
      </c>
      <c r="DJ4">
        <f>DF4</f>
        <v>-150373.91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5">
      <c r="A5">
        <f>ROW(Source!A36)</f>
        <v>36</v>
      </c>
      <c r="B5">
        <v>80889732</v>
      </c>
      <c r="C5">
        <v>80889922</v>
      </c>
      <c r="D5">
        <v>80199986</v>
      </c>
      <c r="E5">
        <v>15514512</v>
      </c>
      <c r="F5">
        <v>1</v>
      </c>
      <c r="G5">
        <v>15514512</v>
      </c>
      <c r="H5">
        <v>1</v>
      </c>
      <c r="I5" t="s">
        <v>285</v>
      </c>
      <c r="J5" t="s">
        <v>3</v>
      </c>
      <c r="K5" t="s">
        <v>286</v>
      </c>
      <c r="L5">
        <v>1191</v>
      </c>
      <c r="N5">
        <v>1013</v>
      </c>
      <c r="O5" t="s">
        <v>287</v>
      </c>
      <c r="P5" t="s">
        <v>287</v>
      </c>
      <c r="Q5">
        <v>1</v>
      </c>
      <c r="W5">
        <v>0</v>
      </c>
      <c r="X5">
        <v>476480486</v>
      </c>
      <c r="Y5">
        <f>(AT5*111)</f>
        <v>15.540000000000001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0.14000000000000001</v>
      </c>
      <c r="AU5" t="s">
        <v>35</v>
      </c>
      <c r="AV5">
        <v>1</v>
      </c>
      <c r="AW5">
        <v>2</v>
      </c>
      <c r="AX5">
        <v>80890121</v>
      </c>
      <c r="AY5">
        <v>1</v>
      </c>
      <c r="AZ5">
        <v>2048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U5">
        <f>ROUND(AT5*Source!I36*AH5*AL5,2)</f>
        <v>0</v>
      </c>
      <c r="CV5">
        <f>ROUND(Y5*Source!I36,9)</f>
        <v>4801.2104280000003</v>
      </c>
      <c r="CW5">
        <v>0</v>
      </c>
      <c r="CX5">
        <f>ROUND(Y5*Source!I36,9)</f>
        <v>4801.2104280000003</v>
      </c>
      <c r="CY5">
        <f>AD5</f>
        <v>0</v>
      </c>
      <c r="CZ5">
        <f>AH5</f>
        <v>0</v>
      </c>
      <c r="DA5">
        <f>AL5</f>
        <v>1</v>
      </c>
      <c r="DB5">
        <f>ROUND((ROUND(AT5*CZ5,2)*111),6)</f>
        <v>0</v>
      </c>
      <c r="DC5">
        <f>ROUND((ROUND(AT5*AG5,2)*111),6)</f>
        <v>0</v>
      </c>
      <c r="DD5" t="s">
        <v>3</v>
      </c>
      <c r="DE5" t="s">
        <v>3</v>
      </c>
      <c r="DF5">
        <f t="shared" si="0"/>
        <v>0</v>
      </c>
      <c r="DG5">
        <f t="shared" si="1"/>
        <v>0</v>
      </c>
      <c r="DH5">
        <f t="shared" si="2"/>
        <v>0</v>
      </c>
      <c r="DI5">
        <f t="shared" si="3"/>
        <v>0</v>
      </c>
      <c r="DJ5">
        <f>DI5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5">
      <c r="A6">
        <f>ROW(Source!A37)</f>
        <v>37</v>
      </c>
      <c r="B6">
        <v>80889732</v>
      </c>
      <c r="C6">
        <v>80889923</v>
      </c>
      <c r="D6">
        <v>80199986</v>
      </c>
      <c r="E6">
        <v>15514512</v>
      </c>
      <c r="F6">
        <v>1</v>
      </c>
      <c r="G6">
        <v>15514512</v>
      </c>
      <c r="H6">
        <v>1</v>
      </c>
      <c r="I6" t="s">
        <v>285</v>
      </c>
      <c r="J6" t="s">
        <v>3</v>
      </c>
      <c r="K6" t="s">
        <v>286</v>
      </c>
      <c r="L6">
        <v>1191</v>
      </c>
      <c r="N6">
        <v>1013</v>
      </c>
      <c r="O6" t="s">
        <v>287</v>
      </c>
      <c r="P6" t="s">
        <v>287</v>
      </c>
      <c r="Q6">
        <v>1</v>
      </c>
      <c r="W6">
        <v>0</v>
      </c>
      <c r="X6">
        <v>476480486</v>
      </c>
      <c r="Y6">
        <f>(AT6*55)</f>
        <v>13.2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0.24</v>
      </c>
      <c r="AU6" t="s">
        <v>22</v>
      </c>
      <c r="AV6">
        <v>1</v>
      </c>
      <c r="AW6">
        <v>2</v>
      </c>
      <c r="AX6">
        <v>80890119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U6">
        <f>ROUND(AT6*Source!I37*AH6*AL6,2)</f>
        <v>0</v>
      </c>
      <c r="CV6">
        <f>ROUND(Y6*Source!I37,9)</f>
        <v>802.71839999999997</v>
      </c>
      <c r="CW6">
        <v>0</v>
      </c>
      <c r="CX6">
        <f>ROUND(Y6*Source!I37,9)</f>
        <v>802.71839999999997</v>
      </c>
      <c r="CY6">
        <f>AD6</f>
        <v>0</v>
      </c>
      <c r="CZ6">
        <f>AH6</f>
        <v>0</v>
      </c>
      <c r="DA6">
        <f>AL6</f>
        <v>1</v>
      </c>
      <c r="DB6">
        <f>ROUND((ROUND(AT6*CZ6,2)*55),6)</f>
        <v>0</v>
      </c>
      <c r="DC6">
        <f>ROUND((ROUND(AT6*AG6,2)*55),6)</f>
        <v>0</v>
      </c>
      <c r="DD6" t="s">
        <v>3</v>
      </c>
      <c r="DE6" t="s">
        <v>3</v>
      </c>
      <c r="DF6">
        <f t="shared" si="0"/>
        <v>0</v>
      </c>
      <c r="DG6">
        <f t="shared" si="1"/>
        <v>0</v>
      </c>
      <c r="DH6">
        <f t="shared" si="2"/>
        <v>0</v>
      </c>
      <c r="DI6">
        <f t="shared" si="3"/>
        <v>0</v>
      </c>
      <c r="DJ6">
        <f>DI6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5">
      <c r="A7">
        <f>ROW(Source!A38)</f>
        <v>38</v>
      </c>
      <c r="B7">
        <v>80889732</v>
      </c>
      <c r="C7">
        <v>80889924</v>
      </c>
      <c r="D7">
        <v>80199986</v>
      </c>
      <c r="E7">
        <v>15514512</v>
      </c>
      <c r="F7">
        <v>1</v>
      </c>
      <c r="G7">
        <v>15514512</v>
      </c>
      <c r="H7">
        <v>1</v>
      </c>
      <c r="I7" t="s">
        <v>285</v>
      </c>
      <c r="J7" t="s">
        <v>3</v>
      </c>
      <c r="K7" t="s">
        <v>286</v>
      </c>
      <c r="L7">
        <v>1191</v>
      </c>
      <c r="N7">
        <v>1013</v>
      </c>
      <c r="O7" t="s">
        <v>287</v>
      </c>
      <c r="P7" t="s">
        <v>287</v>
      </c>
      <c r="Q7">
        <v>1</v>
      </c>
      <c r="W7">
        <v>0</v>
      </c>
      <c r="X7">
        <v>476480486</v>
      </c>
      <c r="Y7">
        <f>(AT7*55)</f>
        <v>56.65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1.03</v>
      </c>
      <c r="AU7" t="s">
        <v>22</v>
      </c>
      <c r="AV7">
        <v>1</v>
      </c>
      <c r="AW7">
        <v>2</v>
      </c>
      <c r="AX7">
        <v>80890118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U7">
        <f>ROUND(AT7*Source!I38*AH7*AL7,2)</f>
        <v>0</v>
      </c>
      <c r="CV7">
        <f>ROUND(Y7*Source!I38,9)</f>
        <v>359.72750000000002</v>
      </c>
      <c r="CW7">
        <v>0</v>
      </c>
      <c r="CX7">
        <f>ROUND(Y7*Source!I38,9)</f>
        <v>359.72750000000002</v>
      </c>
      <c r="CY7">
        <f>AD7</f>
        <v>0</v>
      </c>
      <c r="CZ7">
        <f>AH7</f>
        <v>0</v>
      </c>
      <c r="DA7">
        <f>AL7</f>
        <v>1</v>
      </c>
      <c r="DB7">
        <f>ROUND((ROUND(AT7*CZ7,2)*55),6)</f>
        <v>0</v>
      </c>
      <c r="DC7">
        <f>ROUND((ROUND(AT7*AG7,2)*55),6)</f>
        <v>0</v>
      </c>
      <c r="DD7" t="s">
        <v>3</v>
      </c>
      <c r="DE7" t="s">
        <v>3</v>
      </c>
      <c r="DF7">
        <f t="shared" si="0"/>
        <v>0</v>
      </c>
      <c r="DG7">
        <f t="shared" si="1"/>
        <v>0</v>
      </c>
      <c r="DH7">
        <f t="shared" si="2"/>
        <v>0</v>
      </c>
      <c r="DI7">
        <f t="shared" si="3"/>
        <v>0</v>
      </c>
      <c r="DJ7">
        <f>DI7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5">
      <c r="A8">
        <f>ROW(Source!A39)</f>
        <v>39</v>
      </c>
      <c r="B8">
        <v>80889732</v>
      </c>
      <c r="C8">
        <v>80889925</v>
      </c>
      <c r="D8">
        <v>80199986</v>
      </c>
      <c r="E8">
        <v>15514512</v>
      </c>
      <c r="F8">
        <v>1</v>
      </c>
      <c r="G8">
        <v>15514512</v>
      </c>
      <c r="H8">
        <v>1</v>
      </c>
      <c r="I8" t="s">
        <v>285</v>
      </c>
      <c r="J8" t="s">
        <v>3</v>
      </c>
      <c r="K8" t="s">
        <v>286</v>
      </c>
      <c r="L8">
        <v>1191</v>
      </c>
      <c r="N8">
        <v>1013</v>
      </c>
      <c r="O8" t="s">
        <v>287</v>
      </c>
      <c r="P8" t="s">
        <v>287</v>
      </c>
      <c r="Q8">
        <v>1</v>
      </c>
      <c r="W8">
        <v>0</v>
      </c>
      <c r="X8">
        <v>476480486</v>
      </c>
      <c r="Y8">
        <f>(AT8*55)</f>
        <v>209.55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3.81</v>
      </c>
      <c r="AU8" t="s">
        <v>22</v>
      </c>
      <c r="AV8">
        <v>1</v>
      </c>
      <c r="AW8">
        <v>2</v>
      </c>
      <c r="AX8">
        <v>80890122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U8">
        <f>ROUND(AT8*Source!I39*AH8*AL8,2)</f>
        <v>0</v>
      </c>
      <c r="CV8">
        <f>ROUND(Y8*Source!I39,9)</f>
        <v>7001.0654999999997</v>
      </c>
      <c r="CW8">
        <v>0</v>
      </c>
      <c r="CX8">
        <f>ROUND(Y8*Source!I39,9)</f>
        <v>7001.0654999999997</v>
      </c>
      <c r="CY8">
        <f>AD8</f>
        <v>0</v>
      </c>
      <c r="CZ8">
        <f>AH8</f>
        <v>0</v>
      </c>
      <c r="DA8">
        <f>AL8</f>
        <v>1</v>
      </c>
      <c r="DB8">
        <f>ROUND((ROUND(AT8*CZ8,2)*55),6)</f>
        <v>0</v>
      </c>
      <c r="DC8">
        <f>ROUND((ROUND(AT8*AG8,2)*55),6)</f>
        <v>0</v>
      </c>
      <c r="DD8" t="s">
        <v>3</v>
      </c>
      <c r="DE8" t="s">
        <v>3</v>
      </c>
      <c r="DF8">
        <f t="shared" si="0"/>
        <v>0</v>
      </c>
      <c r="DG8">
        <f t="shared" si="1"/>
        <v>0</v>
      </c>
      <c r="DH8">
        <f t="shared" si="2"/>
        <v>0</v>
      </c>
      <c r="DI8">
        <f t="shared" si="3"/>
        <v>0</v>
      </c>
      <c r="DJ8">
        <f>DI8</f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5">
      <c r="A9">
        <f>ROW(Source!A40)</f>
        <v>40</v>
      </c>
      <c r="B9">
        <v>80889732</v>
      </c>
      <c r="C9">
        <v>80889926</v>
      </c>
      <c r="D9">
        <v>80199986</v>
      </c>
      <c r="E9">
        <v>15514512</v>
      </c>
      <c r="F9">
        <v>1</v>
      </c>
      <c r="G9">
        <v>15514512</v>
      </c>
      <c r="H9">
        <v>1</v>
      </c>
      <c r="I9" t="s">
        <v>285</v>
      </c>
      <c r="J9" t="s">
        <v>3</v>
      </c>
      <c r="K9" t="s">
        <v>286</v>
      </c>
      <c r="L9">
        <v>1191</v>
      </c>
      <c r="N9">
        <v>1013</v>
      </c>
      <c r="O9" t="s">
        <v>287</v>
      </c>
      <c r="P9" t="s">
        <v>287</v>
      </c>
      <c r="Q9">
        <v>1</v>
      </c>
      <c r="W9">
        <v>0</v>
      </c>
      <c r="X9">
        <v>476480486</v>
      </c>
      <c r="Y9">
        <f>(AT9*50)</f>
        <v>15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0.3</v>
      </c>
      <c r="AU9" t="s">
        <v>63</v>
      </c>
      <c r="AV9">
        <v>1</v>
      </c>
      <c r="AW9">
        <v>2</v>
      </c>
      <c r="AX9">
        <v>80890123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U9">
        <f>ROUND(AT9*Source!I40*AH9*AL9,2)</f>
        <v>0</v>
      </c>
      <c r="CV9">
        <f>ROUND(Y9*Source!I40,9)</f>
        <v>4634.3729999999996</v>
      </c>
      <c r="CW9">
        <v>0</v>
      </c>
      <c r="CX9">
        <f>ROUND(Y9*Source!I40,9)</f>
        <v>4634.3729999999996</v>
      </c>
      <c r="CY9">
        <f>AD9</f>
        <v>0</v>
      </c>
      <c r="CZ9">
        <f>AH9</f>
        <v>0</v>
      </c>
      <c r="DA9">
        <f>AL9</f>
        <v>1</v>
      </c>
      <c r="DB9">
        <f>ROUND((ROUND(AT9*CZ9,2)*50),6)</f>
        <v>0</v>
      </c>
      <c r="DC9">
        <f>ROUND((ROUND(AT9*AG9,2)*50),6)</f>
        <v>0</v>
      </c>
      <c r="DD9" t="s">
        <v>3</v>
      </c>
      <c r="DE9" t="s">
        <v>3</v>
      </c>
      <c r="DF9">
        <f t="shared" si="0"/>
        <v>0</v>
      </c>
      <c r="DG9">
        <f t="shared" si="1"/>
        <v>0</v>
      </c>
      <c r="DH9">
        <f t="shared" si="2"/>
        <v>0</v>
      </c>
      <c r="DI9">
        <f t="shared" si="3"/>
        <v>0</v>
      </c>
      <c r="DJ9">
        <f>DI9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5">
      <c r="A10">
        <f>ROW(Source!A40)</f>
        <v>40</v>
      </c>
      <c r="B10">
        <v>80889732</v>
      </c>
      <c r="C10">
        <v>80889926</v>
      </c>
      <c r="D10">
        <v>80216195</v>
      </c>
      <c r="E10">
        <v>1</v>
      </c>
      <c r="F10">
        <v>1</v>
      </c>
      <c r="G10">
        <v>15514512</v>
      </c>
      <c r="H10">
        <v>3</v>
      </c>
      <c r="I10" t="s">
        <v>291</v>
      </c>
      <c r="J10" t="s">
        <v>292</v>
      </c>
      <c r="K10" t="s">
        <v>293</v>
      </c>
      <c r="L10">
        <v>1346</v>
      </c>
      <c r="N10">
        <v>1009</v>
      </c>
      <c r="O10" t="s">
        <v>234</v>
      </c>
      <c r="P10" t="s">
        <v>234</v>
      </c>
      <c r="Q10">
        <v>1</v>
      </c>
      <c r="W10">
        <v>0</v>
      </c>
      <c r="X10">
        <v>-584861322</v>
      </c>
      <c r="Y10">
        <f>(AT10*50)</f>
        <v>250</v>
      </c>
      <c r="AA10">
        <v>27.3</v>
      </c>
      <c r="AB10">
        <v>0</v>
      </c>
      <c r="AC10">
        <v>0</v>
      </c>
      <c r="AD10">
        <v>0</v>
      </c>
      <c r="AE10">
        <v>27.3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5</v>
      </c>
      <c r="AU10" t="s">
        <v>63</v>
      </c>
      <c r="AV10">
        <v>0</v>
      </c>
      <c r="AW10">
        <v>2</v>
      </c>
      <c r="AX10">
        <v>80890124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ROUND(Y10*Source!I40,9)</f>
        <v>77239.55</v>
      </c>
      <c r="CY10">
        <f>AA10</f>
        <v>27.3</v>
      </c>
      <c r="CZ10">
        <f>AE10</f>
        <v>27.3</v>
      </c>
      <c r="DA10">
        <f>AI10</f>
        <v>1</v>
      </c>
      <c r="DB10">
        <f>ROUND((ROUND(AT10*CZ10,2)*50),6)</f>
        <v>6825</v>
      </c>
      <c r="DC10">
        <f>ROUND((ROUND(AT10*AG10,2)*50),6)</f>
        <v>0</v>
      </c>
      <c r="DD10" t="s">
        <v>3</v>
      </c>
      <c r="DE10" t="s">
        <v>3</v>
      </c>
      <c r="DF10">
        <f t="shared" si="0"/>
        <v>2108639.7200000002</v>
      </c>
      <c r="DG10">
        <f t="shared" si="1"/>
        <v>0</v>
      </c>
      <c r="DH10">
        <f t="shared" si="2"/>
        <v>0</v>
      </c>
      <c r="DI10">
        <f t="shared" si="3"/>
        <v>0</v>
      </c>
      <c r="DJ10">
        <f>DF10</f>
        <v>2108639.7200000002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5">
      <c r="A11">
        <f>ROW(Source!A41)</f>
        <v>41</v>
      </c>
      <c r="B11">
        <v>80889732</v>
      </c>
      <c r="C11">
        <v>80889927</v>
      </c>
      <c r="D11">
        <v>80199986</v>
      </c>
      <c r="E11">
        <v>15514512</v>
      </c>
      <c r="F11">
        <v>1</v>
      </c>
      <c r="G11">
        <v>15514512</v>
      </c>
      <c r="H11">
        <v>1</v>
      </c>
      <c r="I11" t="s">
        <v>285</v>
      </c>
      <c r="J11" t="s">
        <v>3</v>
      </c>
      <c r="K11" t="s">
        <v>286</v>
      </c>
      <c r="L11">
        <v>1191</v>
      </c>
      <c r="N11">
        <v>1013</v>
      </c>
      <c r="O11" t="s">
        <v>287</v>
      </c>
      <c r="P11" t="s">
        <v>287</v>
      </c>
      <c r="Q11">
        <v>1</v>
      </c>
      <c r="W11">
        <v>0</v>
      </c>
      <c r="X11">
        <v>476480486</v>
      </c>
      <c r="Y11">
        <f>(AT11*50)</f>
        <v>1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0.02</v>
      </c>
      <c r="AU11" t="s">
        <v>63</v>
      </c>
      <c r="AV11">
        <v>1</v>
      </c>
      <c r="AW11">
        <v>2</v>
      </c>
      <c r="AX11">
        <v>80890125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U11">
        <f>ROUND(AT11*Source!I41*AH11*AL11,2)</f>
        <v>0</v>
      </c>
      <c r="CV11">
        <f>ROUND(Y11*Source!I41,9)</f>
        <v>123.58328</v>
      </c>
      <c r="CW11">
        <v>0</v>
      </c>
      <c r="CX11">
        <f>ROUND(Y11*Source!I41,9)</f>
        <v>123.58328</v>
      </c>
      <c r="CY11">
        <f>AD11</f>
        <v>0</v>
      </c>
      <c r="CZ11">
        <f>AH11</f>
        <v>0</v>
      </c>
      <c r="DA11">
        <f>AL11</f>
        <v>1</v>
      </c>
      <c r="DB11">
        <f>ROUND((ROUND(AT11*CZ11,2)*50),6)</f>
        <v>0</v>
      </c>
      <c r="DC11">
        <f>ROUND((ROUND(AT11*AG11,2)*50),6)</f>
        <v>0</v>
      </c>
      <c r="DD11" t="s">
        <v>3</v>
      </c>
      <c r="DE11" t="s">
        <v>3</v>
      </c>
      <c r="DF11">
        <f t="shared" si="0"/>
        <v>0</v>
      </c>
      <c r="DG11">
        <f t="shared" si="1"/>
        <v>0</v>
      </c>
      <c r="DH11">
        <f t="shared" si="2"/>
        <v>0</v>
      </c>
      <c r="DI11">
        <f t="shared" si="3"/>
        <v>0</v>
      </c>
      <c r="DJ11">
        <f>DI11</f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5">
      <c r="A12">
        <f>ROW(Source!A41)</f>
        <v>41</v>
      </c>
      <c r="B12">
        <v>80889732</v>
      </c>
      <c r="C12">
        <v>80889927</v>
      </c>
      <c r="D12">
        <v>80213219</v>
      </c>
      <c r="E12">
        <v>1</v>
      </c>
      <c r="F12">
        <v>1</v>
      </c>
      <c r="G12">
        <v>15514512</v>
      </c>
      <c r="H12">
        <v>2</v>
      </c>
      <c r="I12" t="s">
        <v>294</v>
      </c>
      <c r="J12" t="s">
        <v>295</v>
      </c>
      <c r="K12" t="s">
        <v>296</v>
      </c>
      <c r="L12">
        <v>1368</v>
      </c>
      <c r="N12">
        <v>1011</v>
      </c>
      <c r="O12" t="s">
        <v>284</v>
      </c>
      <c r="P12" t="s">
        <v>284</v>
      </c>
      <c r="Q12">
        <v>1</v>
      </c>
      <c r="W12">
        <v>0</v>
      </c>
      <c r="X12">
        <v>26148632</v>
      </c>
      <c r="Y12">
        <f>(AT12*50)</f>
        <v>4</v>
      </c>
      <c r="AA12">
        <v>0</v>
      </c>
      <c r="AB12">
        <v>1988.28</v>
      </c>
      <c r="AC12">
        <v>838.86</v>
      </c>
      <c r="AD12">
        <v>0</v>
      </c>
      <c r="AE12">
        <v>0</v>
      </c>
      <c r="AF12">
        <v>1988.28</v>
      </c>
      <c r="AG12">
        <v>838.86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0.08</v>
      </c>
      <c r="AU12" t="s">
        <v>63</v>
      </c>
      <c r="AV12">
        <v>0</v>
      </c>
      <c r="AW12">
        <v>2</v>
      </c>
      <c r="AX12">
        <v>80890126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f>ROUND(Y12*Source!I41*DO12,9)</f>
        <v>0</v>
      </c>
      <c r="CX12">
        <f>ROUND(Y12*Source!I41,9)</f>
        <v>494.33312000000001</v>
      </c>
      <c r="CY12">
        <f>AB12</f>
        <v>1988.28</v>
      </c>
      <c r="CZ12">
        <f>AF12</f>
        <v>1988.28</v>
      </c>
      <c r="DA12">
        <f>AJ12</f>
        <v>1</v>
      </c>
      <c r="DB12">
        <f>ROUND((ROUND(AT12*CZ12,2)*50),6)</f>
        <v>7953</v>
      </c>
      <c r="DC12">
        <f>ROUND((ROUND(AT12*AG12,2)*50),6)</f>
        <v>3355.5</v>
      </c>
      <c r="DD12" t="s">
        <v>3</v>
      </c>
      <c r="DE12" t="s">
        <v>3</v>
      </c>
      <c r="DF12">
        <f t="shared" si="0"/>
        <v>0</v>
      </c>
      <c r="DG12">
        <f t="shared" si="1"/>
        <v>982872.66</v>
      </c>
      <c r="DH12">
        <f t="shared" si="2"/>
        <v>414676.28</v>
      </c>
      <c r="DI12">
        <f t="shared" si="3"/>
        <v>0</v>
      </c>
      <c r="DJ12">
        <f>DG12</f>
        <v>982872.66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5">
      <c r="A13">
        <f>ROW(Source!A41)</f>
        <v>41</v>
      </c>
      <c r="B13">
        <v>80889732</v>
      </c>
      <c r="C13">
        <v>80889927</v>
      </c>
      <c r="D13">
        <v>80216195</v>
      </c>
      <c r="E13">
        <v>1</v>
      </c>
      <c r="F13">
        <v>1</v>
      </c>
      <c r="G13">
        <v>15514512</v>
      </c>
      <c r="H13">
        <v>3</v>
      </c>
      <c r="I13" t="s">
        <v>291</v>
      </c>
      <c r="J13" t="s">
        <v>292</v>
      </c>
      <c r="K13" t="s">
        <v>293</v>
      </c>
      <c r="L13">
        <v>1346</v>
      </c>
      <c r="N13">
        <v>1009</v>
      </c>
      <c r="O13" t="s">
        <v>234</v>
      </c>
      <c r="P13" t="s">
        <v>234</v>
      </c>
      <c r="Q13">
        <v>1</v>
      </c>
      <c r="W13">
        <v>0</v>
      </c>
      <c r="X13">
        <v>-584861322</v>
      </c>
      <c r="Y13">
        <f>(AT13*50)</f>
        <v>2500</v>
      </c>
      <c r="AA13">
        <v>27.3</v>
      </c>
      <c r="AB13">
        <v>0</v>
      </c>
      <c r="AC13">
        <v>0</v>
      </c>
      <c r="AD13">
        <v>0</v>
      </c>
      <c r="AE13">
        <v>27.3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50</v>
      </c>
      <c r="AU13" t="s">
        <v>63</v>
      </c>
      <c r="AV13">
        <v>0</v>
      </c>
      <c r="AW13">
        <v>2</v>
      </c>
      <c r="AX13">
        <v>80890127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ROUND(Y13*Source!I41,9)</f>
        <v>308958.2</v>
      </c>
      <c r="CY13">
        <f>AA13</f>
        <v>27.3</v>
      </c>
      <c r="CZ13">
        <f>AE13</f>
        <v>27.3</v>
      </c>
      <c r="DA13">
        <f>AI13</f>
        <v>1</v>
      </c>
      <c r="DB13">
        <f>ROUND((ROUND(AT13*CZ13,2)*50),6)</f>
        <v>68250</v>
      </c>
      <c r="DC13">
        <f>ROUND((ROUND(AT13*AG13,2)*50),6)</f>
        <v>0</v>
      </c>
      <c r="DD13" t="s">
        <v>3</v>
      </c>
      <c r="DE13" t="s">
        <v>3</v>
      </c>
      <c r="DF13">
        <f t="shared" si="0"/>
        <v>8434558.8599999994</v>
      </c>
      <c r="DG13">
        <f t="shared" si="1"/>
        <v>0</v>
      </c>
      <c r="DH13">
        <f t="shared" si="2"/>
        <v>0</v>
      </c>
      <c r="DI13">
        <f t="shared" si="3"/>
        <v>0</v>
      </c>
      <c r="DJ13">
        <f>DF13</f>
        <v>8434558.8599999994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5">
      <c r="A14">
        <f>ROW(Source!A42)</f>
        <v>42</v>
      </c>
      <c r="B14">
        <v>80889732</v>
      </c>
      <c r="C14">
        <v>80889928</v>
      </c>
      <c r="D14">
        <v>80199986</v>
      </c>
      <c r="E14">
        <v>15514512</v>
      </c>
      <c r="F14">
        <v>1</v>
      </c>
      <c r="G14">
        <v>15514512</v>
      </c>
      <c r="H14">
        <v>1</v>
      </c>
      <c r="I14" t="s">
        <v>285</v>
      </c>
      <c r="J14" t="s">
        <v>3</v>
      </c>
      <c r="K14" t="s">
        <v>286</v>
      </c>
      <c r="L14">
        <v>1191</v>
      </c>
      <c r="N14">
        <v>1013</v>
      </c>
      <c r="O14" t="s">
        <v>287</v>
      </c>
      <c r="P14" t="s">
        <v>287</v>
      </c>
      <c r="Q14">
        <v>1</v>
      </c>
      <c r="W14">
        <v>0</v>
      </c>
      <c r="X14">
        <v>476480486</v>
      </c>
      <c r="Y14">
        <f>(AT14*20)</f>
        <v>48.2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2.41</v>
      </c>
      <c r="AU14" t="s">
        <v>72</v>
      </c>
      <c r="AV14">
        <v>1</v>
      </c>
      <c r="AW14">
        <v>2</v>
      </c>
      <c r="AX14">
        <v>80890128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U14">
        <f>ROUND(AT14*Source!I42*AH14*AL14,2)</f>
        <v>0</v>
      </c>
      <c r="CV14">
        <f>ROUND(Y14*Source!I42,9)</f>
        <v>744.58878000000004</v>
      </c>
      <c r="CW14">
        <v>0</v>
      </c>
      <c r="CX14">
        <f>ROUND(Y14*Source!I42,9)</f>
        <v>744.58878000000004</v>
      </c>
      <c r="CY14">
        <f>AD14</f>
        <v>0</v>
      </c>
      <c r="CZ14">
        <f>AH14</f>
        <v>0</v>
      </c>
      <c r="DA14">
        <f>AL14</f>
        <v>1</v>
      </c>
      <c r="DB14">
        <f>ROUND((ROUND(AT14*CZ14,2)*20),6)</f>
        <v>0</v>
      </c>
      <c r="DC14">
        <f>ROUND((ROUND(AT14*AG14,2)*20),6)</f>
        <v>0</v>
      </c>
      <c r="DD14" t="s">
        <v>3</v>
      </c>
      <c r="DE14" t="s">
        <v>3</v>
      </c>
      <c r="DF14">
        <f t="shared" si="0"/>
        <v>0</v>
      </c>
      <c r="DG14">
        <f t="shared" si="1"/>
        <v>0</v>
      </c>
      <c r="DH14">
        <f t="shared" si="2"/>
        <v>0</v>
      </c>
      <c r="DI14">
        <f t="shared" si="3"/>
        <v>0</v>
      </c>
      <c r="DJ14">
        <f>DI14</f>
        <v>0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5">
      <c r="A15">
        <f>ROW(Source!A43)</f>
        <v>43</v>
      </c>
      <c r="B15">
        <v>80889732</v>
      </c>
      <c r="C15">
        <v>80889929</v>
      </c>
      <c r="D15">
        <v>80199986</v>
      </c>
      <c r="E15">
        <v>15514512</v>
      </c>
      <c r="F15">
        <v>1</v>
      </c>
      <c r="G15">
        <v>15514512</v>
      </c>
      <c r="H15">
        <v>1</v>
      </c>
      <c r="I15" t="s">
        <v>285</v>
      </c>
      <c r="J15" t="s">
        <v>3</v>
      </c>
      <c r="K15" t="s">
        <v>286</v>
      </c>
      <c r="L15">
        <v>1191</v>
      </c>
      <c r="N15">
        <v>1013</v>
      </c>
      <c r="O15" t="s">
        <v>287</v>
      </c>
      <c r="P15" t="s">
        <v>287</v>
      </c>
      <c r="Q15">
        <v>1</v>
      </c>
      <c r="W15">
        <v>0</v>
      </c>
      <c r="X15">
        <v>476480486</v>
      </c>
      <c r="Y15">
        <f>AT15</f>
        <v>0.37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0.37</v>
      </c>
      <c r="AU15" t="s">
        <v>3</v>
      </c>
      <c r="AV15">
        <v>1</v>
      </c>
      <c r="AW15">
        <v>2</v>
      </c>
      <c r="AX15">
        <v>80890129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U15">
        <f>ROUND(AT15*Source!I43*AH15*AL15,2)</f>
        <v>0</v>
      </c>
      <c r="CV15">
        <f>ROUND(Y15*Source!I43,9)</f>
        <v>10288.308800000001</v>
      </c>
      <c r="CW15">
        <v>0</v>
      </c>
      <c r="CX15">
        <f>ROUND(Y15*Source!I43,9)</f>
        <v>10288.308800000001</v>
      </c>
      <c r="CY15">
        <f>AD15</f>
        <v>0</v>
      </c>
      <c r="CZ15">
        <f>AH15</f>
        <v>0</v>
      </c>
      <c r="DA15">
        <f>AL15</f>
        <v>1</v>
      </c>
      <c r="DB15">
        <f>ROUND(ROUND(AT15*CZ15,2),6)</f>
        <v>0</v>
      </c>
      <c r="DC15">
        <f>ROUND(ROUND(AT15*AG15,2),6)</f>
        <v>0</v>
      </c>
      <c r="DD15" t="s">
        <v>3</v>
      </c>
      <c r="DE15" t="s">
        <v>3</v>
      </c>
      <c r="DF15">
        <f t="shared" si="0"/>
        <v>0</v>
      </c>
      <c r="DG15">
        <f t="shared" si="1"/>
        <v>0</v>
      </c>
      <c r="DH15">
        <f t="shared" si="2"/>
        <v>0</v>
      </c>
      <c r="DI15">
        <f t="shared" si="3"/>
        <v>0</v>
      </c>
      <c r="DJ15">
        <f>DI15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5">
      <c r="A16">
        <f>ROW(Source!A43)</f>
        <v>43</v>
      </c>
      <c r="B16">
        <v>80889732</v>
      </c>
      <c r="C16">
        <v>80889929</v>
      </c>
      <c r="D16">
        <v>80212784</v>
      </c>
      <c r="E16">
        <v>1</v>
      </c>
      <c r="F16">
        <v>1</v>
      </c>
      <c r="G16">
        <v>15514512</v>
      </c>
      <c r="H16">
        <v>2</v>
      </c>
      <c r="I16" t="s">
        <v>297</v>
      </c>
      <c r="J16" t="s">
        <v>298</v>
      </c>
      <c r="K16" t="s">
        <v>299</v>
      </c>
      <c r="L16">
        <v>1368</v>
      </c>
      <c r="N16">
        <v>1011</v>
      </c>
      <c r="O16" t="s">
        <v>284</v>
      </c>
      <c r="P16" t="s">
        <v>284</v>
      </c>
      <c r="Q16">
        <v>1</v>
      </c>
      <c r="W16">
        <v>0</v>
      </c>
      <c r="X16">
        <v>-290374090</v>
      </c>
      <c r="Y16">
        <f>AT16</f>
        <v>0.34</v>
      </c>
      <c r="AA16">
        <v>0</v>
      </c>
      <c r="AB16">
        <v>2097.0700000000002</v>
      </c>
      <c r="AC16">
        <v>1028.7</v>
      </c>
      <c r="AD16">
        <v>0</v>
      </c>
      <c r="AE16">
        <v>0</v>
      </c>
      <c r="AF16">
        <v>2097.0700000000002</v>
      </c>
      <c r="AG16">
        <v>1028.7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0.34</v>
      </c>
      <c r="AU16" t="s">
        <v>3</v>
      </c>
      <c r="AV16">
        <v>0</v>
      </c>
      <c r="AW16">
        <v>2</v>
      </c>
      <c r="AX16">
        <v>80890130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f>ROUND(Y16*Source!I43*DO16,9)</f>
        <v>0</v>
      </c>
      <c r="CX16">
        <f>ROUND(Y16*Source!I43,9)</f>
        <v>9454.1216000000004</v>
      </c>
      <c r="CY16">
        <f>AB16</f>
        <v>2097.0700000000002</v>
      </c>
      <c r="CZ16">
        <f>AF16</f>
        <v>2097.0700000000002</v>
      </c>
      <c r="DA16">
        <f>AJ16</f>
        <v>1</v>
      </c>
      <c r="DB16">
        <f>ROUND(ROUND(AT16*CZ16,2),6)</f>
        <v>713</v>
      </c>
      <c r="DC16">
        <f>ROUND(ROUND(AT16*AG16,2),6)</f>
        <v>349.76</v>
      </c>
      <c r="DD16" t="s">
        <v>3</v>
      </c>
      <c r="DE16" t="s">
        <v>3</v>
      </c>
      <c r="DF16">
        <f t="shared" si="0"/>
        <v>0</v>
      </c>
      <c r="DG16">
        <f t="shared" si="1"/>
        <v>19825954.780000001</v>
      </c>
      <c r="DH16">
        <f t="shared" si="2"/>
        <v>9725454.8900000006</v>
      </c>
      <c r="DI16">
        <f t="shared" si="3"/>
        <v>0</v>
      </c>
      <c r="DJ16">
        <f>DG16</f>
        <v>19825954.780000001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5">
      <c r="A17">
        <f>ROW(Source!A44)</f>
        <v>44</v>
      </c>
      <c r="B17">
        <v>80889732</v>
      </c>
      <c r="C17">
        <v>80889930</v>
      </c>
      <c r="D17">
        <v>80212784</v>
      </c>
      <c r="E17">
        <v>1</v>
      </c>
      <c r="F17">
        <v>1</v>
      </c>
      <c r="G17">
        <v>15514512</v>
      </c>
      <c r="H17">
        <v>2</v>
      </c>
      <c r="I17" t="s">
        <v>297</v>
      </c>
      <c r="J17" t="s">
        <v>298</v>
      </c>
      <c r="K17" t="s">
        <v>299</v>
      </c>
      <c r="L17">
        <v>1368</v>
      </c>
      <c r="N17">
        <v>1011</v>
      </c>
      <c r="O17" t="s">
        <v>284</v>
      </c>
      <c r="P17" t="s">
        <v>284</v>
      </c>
      <c r="Q17">
        <v>1</v>
      </c>
      <c r="W17">
        <v>0</v>
      </c>
      <c r="X17">
        <v>-290374090</v>
      </c>
      <c r="Y17">
        <f>AT17</f>
        <v>0.09</v>
      </c>
      <c r="AA17">
        <v>0</v>
      </c>
      <c r="AB17">
        <v>2097.0700000000002</v>
      </c>
      <c r="AC17">
        <v>1028.7</v>
      </c>
      <c r="AD17">
        <v>0</v>
      </c>
      <c r="AE17">
        <v>0</v>
      </c>
      <c r="AF17">
        <v>2097.0700000000002</v>
      </c>
      <c r="AG17">
        <v>1028.7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0.09</v>
      </c>
      <c r="AU17" t="s">
        <v>3</v>
      </c>
      <c r="AV17">
        <v>0</v>
      </c>
      <c r="AW17">
        <v>2</v>
      </c>
      <c r="AX17">
        <v>80890131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f>ROUND(Y17*Source!I44*DO17,9)</f>
        <v>0</v>
      </c>
      <c r="CX17">
        <f>ROUND(Y17*Source!I44,9)</f>
        <v>2502.5616</v>
      </c>
      <c r="CY17">
        <f>AB17</f>
        <v>2097.0700000000002</v>
      </c>
      <c r="CZ17">
        <f>AF17</f>
        <v>2097.0700000000002</v>
      </c>
      <c r="DA17">
        <f>AJ17</f>
        <v>1</v>
      </c>
      <c r="DB17">
        <f>ROUND(ROUND(AT17*CZ17,2),6)</f>
        <v>188.74</v>
      </c>
      <c r="DC17">
        <f>ROUND(ROUND(AT17*AG17,2),6)</f>
        <v>92.58</v>
      </c>
      <c r="DD17" t="s">
        <v>3</v>
      </c>
      <c r="DE17" t="s">
        <v>3</v>
      </c>
      <c r="DF17">
        <f t="shared" si="0"/>
        <v>0</v>
      </c>
      <c r="DG17">
        <f t="shared" si="1"/>
        <v>5248046.8499999996</v>
      </c>
      <c r="DH17">
        <f t="shared" si="2"/>
        <v>2574385.12</v>
      </c>
      <c r="DI17">
        <f t="shared" si="3"/>
        <v>0</v>
      </c>
      <c r="DJ17">
        <f>DG17</f>
        <v>5248046.8499999996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5">
      <c r="A18">
        <f>ROW(Source!A45)</f>
        <v>45</v>
      </c>
      <c r="B18">
        <v>80889732</v>
      </c>
      <c r="C18">
        <v>80889931</v>
      </c>
      <c r="D18">
        <v>80199986</v>
      </c>
      <c r="E18">
        <v>15514512</v>
      </c>
      <c r="F18">
        <v>1</v>
      </c>
      <c r="G18">
        <v>15514512</v>
      </c>
      <c r="H18">
        <v>1</v>
      </c>
      <c r="I18" t="s">
        <v>285</v>
      </c>
      <c r="J18" t="s">
        <v>3</v>
      </c>
      <c r="K18" t="s">
        <v>286</v>
      </c>
      <c r="L18">
        <v>1191</v>
      </c>
      <c r="N18">
        <v>1013</v>
      </c>
      <c r="O18" t="s">
        <v>287</v>
      </c>
      <c r="P18" t="s">
        <v>287</v>
      </c>
      <c r="Q18">
        <v>1</v>
      </c>
      <c r="W18">
        <v>0</v>
      </c>
      <c r="X18">
        <v>476480486</v>
      </c>
      <c r="Y18">
        <f>(AT18*55)</f>
        <v>154.55000000000001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2.81</v>
      </c>
      <c r="AU18" t="s">
        <v>22</v>
      </c>
      <c r="AV18">
        <v>1</v>
      </c>
      <c r="AW18">
        <v>2</v>
      </c>
      <c r="AX18">
        <v>80890132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U18">
        <f>ROUND(AT18*Source!I45*AH18*AL18,2)</f>
        <v>0</v>
      </c>
      <c r="CV18">
        <f>ROUND(Y18*Source!I45,9)</f>
        <v>244.55992000000001</v>
      </c>
      <c r="CW18">
        <v>0</v>
      </c>
      <c r="CX18">
        <f>ROUND(Y18*Source!I45,9)</f>
        <v>244.55992000000001</v>
      </c>
      <c r="CY18">
        <f>AD18</f>
        <v>0</v>
      </c>
      <c r="CZ18">
        <f>AH18</f>
        <v>0</v>
      </c>
      <c r="DA18">
        <f>AL18</f>
        <v>1</v>
      </c>
      <c r="DB18">
        <f>ROUND((ROUND(AT18*CZ18,2)*55),6)</f>
        <v>0</v>
      </c>
      <c r="DC18">
        <f>ROUND((ROUND(AT18*AG18,2)*55),6)</f>
        <v>0</v>
      </c>
      <c r="DD18" t="s">
        <v>3</v>
      </c>
      <c r="DE18" t="s">
        <v>3</v>
      </c>
      <c r="DF18">
        <f t="shared" si="0"/>
        <v>0</v>
      </c>
      <c r="DG18">
        <f t="shared" si="1"/>
        <v>0</v>
      </c>
      <c r="DH18">
        <f t="shared" si="2"/>
        <v>0</v>
      </c>
      <c r="DI18">
        <f t="shared" si="3"/>
        <v>0</v>
      </c>
      <c r="DJ18">
        <f>DI18</f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5">
      <c r="A19">
        <f>ROW(Source!A46)</f>
        <v>46</v>
      </c>
      <c r="B19">
        <v>80889732</v>
      </c>
      <c r="C19">
        <v>80889932</v>
      </c>
      <c r="D19">
        <v>80199986</v>
      </c>
      <c r="E19">
        <v>15514512</v>
      </c>
      <c r="F19">
        <v>1</v>
      </c>
      <c r="G19">
        <v>15514512</v>
      </c>
      <c r="H19">
        <v>1</v>
      </c>
      <c r="I19" t="s">
        <v>285</v>
      </c>
      <c r="J19" t="s">
        <v>3</v>
      </c>
      <c r="K19" t="s">
        <v>286</v>
      </c>
      <c r="L19">
        <v>1191</v>
      </c>
      <c r="N19">
        <v>1013</v>
      </c>
      <c r="O19" t="s">
        <v>287</v>
      </c>
      <c r="P19" t="s">
        <v>287</v>
      </c>
      <c r="Q19">
        <v>1</v>
      </c>
      <c r="W19">
        <v>0</v>
      </c>
      <c r="X19">
        <v>476480486</v>
      </c>
      <c r="Y19">
        <f>(AT19*161)</f>
        <v>388.01000000000005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2.41</v>
      </c>
      <c r="AU19" t="s">
        <v>90</v>
      </c>
      <c r="AV19">
        <v>1</v>
      </c>
      <c r="AW19">
        <v>2</v>
      </c>
      <c r="AX19">
        <v>80890133</v>
      </c>
      <c r="AY19">
        <v>1</v>
      </c>
      <c r="AZ19">
        <v>2048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U19">
        <f>ROUND(AT19*Source!I46*AH19*AL19,2)</f>
        <v>0</v>
      </c>
      <c r="CV19">
        <f>ROUND(Y19*Source!I46,9)</f>
        <v>492.77269999999999</v>
      </c>
      <c r="CW19">
        <v>0</v>
      </c>
      <c r="CX19">
        <f>ROUND(Y19*Source!I46,9)</f>
        <v>492.77269999999999</v>
      </c>
      <c r="CY19">
        <f>AD19</f>
        <v>0</v>
      </c>
      <c r="CZ19">
        <f>AH19</f>
        <v>0</v>
      </c>
      <c r="DA19">
        <f>AL19</f>
        <v>1</v>
      </c>
      <c r="DB19">
        <f>ROUND((ROUND(AT19*CZ19,2)*161),6)</f>
        <v>0</v>
      </c>
      <c r="DC19">
        <f>ROUND((ROUND(AT19*AG19,2)*161),6)</f>
        <v>0</v>
      </c>
      <c r="DD19" t="s">
        <v>3</v>
      </c>
      <c r="DE19" t="s">
        <v>3</v>
      </c>
      <c r="DF19">
        <f t="shared" si="0"/>
        <v>0</v>
      </c>
      <c r="DG19">
        <f t="shared" si="1"/>
        <v>0</v>
      </c>
      <c r="DH19">
        <f t="shared" si="2"/>
        <v>0</v>
      </c>
      <c r="DI19">
        <f t="shared" si="3"/>
        <v>0</v>
      </c>
      <c r="DJ19">
        <f>DI19</f>
        <v>0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5">
      <c r="A20">
        <f>ROW(Source!A46)</f>
        <v>46</v>
      </c>
      <c r="B20">
        <v>80889732</v>
      </c>
      <c r="C20">
        <v>80889932</v>
      </c>
      <c r="D20">
        <v>80215860</v>
      </c>
      <c r="E20">
        <v>1</v>
      </c>
      <c r="F20">
        <v>1</v>
      </c>
      <c r="G20">
        <v>15514512</v>
      </c>
      <c r="H20">
        <v>3</v>
      </c>
      <c r="I20" t="s">
        <v>300</v>
      </c>
      <c r="J20" t="s">
        <v>301</v>
      </c>
      <c r="K20" t="s">
        <v>302</v>
      </c>
      <c r="L20">
        <v>1354</v>
      </c>
      <c r="N20">
        <v>1010</v>
      </c>
      <c r="O20" t="s">
        <v>303</v>
      </c>
      <c r="P20" t="s">
        <v>303</v>
      </c>
      <c r="Q20">
        <v>1</v>
      </c>
      <c r="W20">
        <v>0</v>
      </c>
      <c r="X20">
        <v>-1952007382</v>
      </c>
      <c r="Y20">
        <f>(AT20*161)</f>
        <v>16100</v>
      </c>
      <c r="AA20">
        <v>2.75</v>
      </c>
      <c r="AB20">
        <v>0</v>
      </c>
      <c r="AC20">
        <v>0</v>
      </c>
      <c r="AD20">
        <v>0</v>
      </c>
      <c r="AE20">
        <v>2.75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100</v>
      </c>
      <c r="AU20" t="s">
        <v>90</v>
      </c>
      <c r="AV20">
        <v>0</v>
      </c>
      <c r="AW20">
        <v>2</v>
      </c>
      <c r="AX20">
        <v>80890134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ROUND(Y20*Source!I46,9)</f>
        <v>20447</v>
      </c>
      <c r="CY20">
        <f>AA20</f>
        <v>2.75</v>
      </c>
      <c r="CZ20">
        <f>AE20</f>
        <v>2.75</v>
      </c>
      <c r="DA20">
        <f>AI20</f>
        <v>1</v>
      </c>
      <c r="DB20">
        <f>ROUND((ROUND(AT20*CZ20,2)*161),6)</f>
        <v>44275</v>
      </c>
      <c r="DC20">
        <f>ROUND((ROUND(AT20*AG20,2)*161),6)</f>
        <v>0</v>
      </c>
      <c r="DD20" t="s">
        <v>3</v>
      </c>
      <c r="DE20" t="s">
        <v>3</v>
      </c>
      <c r="DF20">
        <f t="shared" si="0"/>
        <v>56229.25</v>
      </c>
      <c r="DG20">
        <f t="shared" si="1"/>
        <v>0</v>
      </c>
      <c r="DH20">
        <f t="shared" si="2"/>
        <v>0</v>
      </c>
      <c r="DI20">
        <f t="shared" si="3"/>
        <v>0</v>
      </c>
      <c r="DJ20">
        <f>DF20</f>
        <v>56229.25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5">
      <c r="A21">
        <f>ROW(Source!A47)</f>
        <v>47</v>
      </c>
      <c r="B21">
        <v>80889732</v>
      </c>
      <c r="C21">
        <v>80889933</v>
      </c>
      <c r="D21">
        <v>80199986</v>
      </c>
      <c r="E21">
        <v>15514512</v>
      </c>
      <c r="F21">
        <v>1</v>
      </c>
      <c r="G21">
        <v>15514512</v>
      </c>
      <c r="H21">
        <v>1</v>
      </c>
      <c r="I21" t="s">
        <v>285</v>
      </c>
      <c r="J21" t="s">
        <v>3</v>
      </c>
      <c r="K21" t="s">
        <v>286</v>
      </c>
      <c r="L21">
        <v>1191</v>
      </c>
      <c r="N21">
        <v>1013</v>
      </c>
      <c r="O21" t="s">
        <v>287</v>
      </c>
      <c r="P21" t="s">
        <v>287</v>
      </c>
      <c r="Q21">
        <v>1</v>
      </c>
      <c r="W21">
        <v>0</v>
      </c>
      <c r="X21">
        <v>476480486</v>
      </c>
      <c r="Y21">
        <f>(AT21*5)</f>
        <v>63.75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12.75</v>
      </c>
      <c r="AU21" t="s">
        <v>95</v>
      </c>
      <c r="AV21">
        <v>1</v>
      </c>
      <c r="AW21">
        <v>2</v>
      </c>
      <c r="AX21">
        <v>80890135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U21">
        <f>ROUND(AT21*Source!I47*AH21*AL21,2)</f>
        <v>0</v>
      </c>
      <c r="CV21">
        <f>ROUND(Y21*Source!I47,9)</f>
        <v>80.962500000000006</v>
      </c>
      <c r="CW21">
        <v>0</v>
      </c>
      <c r="CX21">
        <f>ROUND(Y21*Source!I47,9)</f>
        <v>80.962500000000006</v>
      </c>
      <c r="CY21">
        <f>AD21</f>
        <v>0</v>
      </c>
      <c r="CZ21">
        <f>AH21</f>
        <v>0</v>
      </c>
      <c r="DA21">
        <f>AL21</f>
        <v>1</v>
      </c>
      <c r="DB21">
        <f>ROUND((ROUND(AT21*CZ21,2)*5),6)</f>
        <v>0</v>
      </c>
      <c r="DC21">
        <f>ROUND((ROUND(AT21*AG21,2)*5),6)</f>
        <v>0</v>
      </c>
      <c r="DD21" t="s">
        <v>3</v>
      </c>
      <c r="DE21" t="s">
        <v>3</v>
      </c>
      <c r="DF21">
        <f t="shared" si="0"/>
        <v>0</v>
      </c>
      <c r="DG21">
        <f t="shared" si="1"/>
        <v>0</v>
      </c>
      <c r="DH21">
        <f t="shared" si="2"/>
        <v>0</v>
      </c>
      <c r="DI21">
        <f t="shared" si="3"/>
        <v>0</v>
      </c>
      <c r="DJ21">
        <f>DI21</f>
        <v>0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5">
      <c r="A22">
        <f>ROW(Source!A47)</f>
        <v>47</v>
      </c>
      <c r="B22">
        <v>80889732</v>
      </c>
      <c r="C22">
        <v>80889933</v>
      </c>
      <c r="D22">
        <v>80215393</v>
      </c>
      <c r="E22">
        <v>1</v>
      </c>
      <c r="F22">
        <v>1</v>
      </c>
      <c r="G22">
        <v>15514512</v>
      </c>
      <c r="H22">
        <v>3</v>
      </c>
      <c r="I22" t="s">
        <v>304</v>
      </c>
      <c r="J22" t="s">
        <v>305</v>
      </c>
      <c r="K22" t="s">
        <v>306</v>
      </c>
      <c r="L22">
        <v>1296</v>
      </c>
      <c r="N22">
        <v>1002</v>
      </c>
      <c r="O22" t="s">
        <v>263</v>
      </c>
      <c r="P22" t="s">
        <v>263</v>
      </c>
      <c r="Q22">
        <v>1</v>
      </c>
      <c r="W22">
        <v>0</v>
      </c>
      <c r="X22">
        <v>-2014656141</v>
      </c>
      <c r="Y22">
        <f>(AT22*5)</f>
        <v>37.5</v>
      </c>
      <c r="AA22">
        <v>710.73</v>
      </c>
      <c r="AB22">
        <v>0</v>
      </c>
      <c r="AC22">
        <v>0</v>
      </c>
      <c r="AD22">
        <v>0</v>
      </c>
      <c r="AE22">
        <v>710.73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7.5</v>
      </c>
      <c r="AU22" t="s">
        <v>95</v>
      </c>
      <c r="AV22">
        <v>0</v>
      </c>
      <c r="AW22">
        <v>2</v>
      </c>
      <c r="AX22">
        <v>80890136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ROUND(Y22*Source!I47,9)</f>
        <v>47.625</v>
      </c>
      <c r="CY22">
        <f>AA22</f>
        <v>710.73</v>
      </c>
      <c r="CZ22">
        <f>AE22</f>
        <v>710.73</v>
      </c>
      <c r="DA22">
        <f>AI22</f>
        <v>1</v>
      </c>
      <c r="DB22">
        <f>ROUND((ROUND(AT22*CZ22,2)*5),6)</f>
        <v>26652.400000000001</v>
      </c>
      <c r="DC22">
        <f>ROUND((ROUND(AT22*AG22,2)*5),6)</f>
        <v>0</v>
      </c>
      <c r="DD22" t="s">
        <v>3</v>
      </c>
      <c r="DE22" t="s">
        <v>3</v>
      </c>
      <c r="DF22">
        <f t="shared" si="0"/>
        <v>33848.519999999997</v>
      </c>
      <c r="DG22">
        <f t="shared" si="1"/>
        <v>0</v>
      </c>
      <c r="DH22">
        <f t="shared" si="2"/>
        <v>0</v>
      </c>
      <c r="DI22">
        <f t="shared" si="3"/>
        <v>0</v>
      </c>
      <c r="DJ22">
        <f>DF22</f>
        <v>33848.519999999997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5">
      <c r="A23">
        <f>ROW(Source!A47)</f>
        <v>47</v>
      </c>
      <c r="B23">
        <v>80889732</v>
      </c>
      <c r="C23">
        <v>80889933</v>
      </c>
      <c r="D23">
        <v>80215470</v>
      </c>
      <c r="E23">
        <v>1</v>
      </c>
      <c r="F23">
        <v>1</v>
      </c>
      <c r="G23">
        <v>15514512</v>
      </c>
      <c r="H23">
        <v>3</v>
      </c>
      <c r="I23" t="s">
        <v>37</v>
      </c>
      <c r="J23" t="s">
        <v>40</v>
      </c>
      <c r="K23" t="s">
        <v>38</v>
      </c>
      <c r="L23">
        <v>1339</v>
      </c>
      <c r="N23">
        <v>1007</v>
      </c>
      <c r="O23" t="s">
        <v>39</v>
      </c>
      <c r="P23" t="s">
        <v>39</v>
      </c>
      <c r="Q23">
        <v>1</v>
      </c>
      <c r="W23">
        <v>1</v>
      </c>
      <c r="X23">
        <v>2112060389</v>
      </c>
      <c r="Y23">
        <f>(AT23*5)</f>
        <v>-7.5</v>
      </c>
      <c r="AA23">
        <v>54.81</v>
      </c>
      <c r="AB23">
        <v>0</v>
      </c>
      <c r="AC23">
        <v>0</v>
      </c>
      <c r="AD23">
        <v>0</v>
      </c>
      <c r="AE23">
        <v>54.81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-1.5</v>
      </c>
      <c r="AU23" t="s">
        <v>95</v>
      </c>
      <c r="AV23">
        <v>0</v>
      </c>
      <c r="AW23">
        <v>2</v>
      </c>
      <c r="AX23">
        <v>80890137</v>
      </c>
      <c r="AY23">
        <v>1</v>
      </c>
      <c r="AZ23">
        <v>6144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ROUND(Y23*Source!I47,9)</f>
        <v>-9.5250000000000004</v>
      </c>
      <c r="CY23">
        <f>AA23</f>
        <v>54.81</v>
      </c>
      <c r="CZ23">
        <f>AE23</f>
        <v>54.81</v>
      </c>
      <c r="DA23">
        <f>AI23</f>
        <v>1</v>
      </c>
      <c r="DB23">
        <f>ROUND((ROUND(AT23*CZ23,2)*5),6)</f>
        <v>-411.1</v>
      </c>
      <c r="DC23">
        <f>ROUND((ROUND(AT23*AG23,2)*5),6)</f>
        <v>0</v>
      </c>
      <c r="DD23" t="s">
        <v>3</v>
      </c>
      <c r="DE23" t="s">
        <v>3</v>
      </c>
      <c r="DF23">
        <f t="shared" si="0"/>
        <v>-522.07000000000005</v>
      </c>
      <c r="DG23">
        <f t="shared" si="1"/>
        <v>0</v>
      </c>
      <c r="DH23">
        <f t="shared" si="2"/>
        <v>0</v>
      </c>
      <c r="DI23">
        <f t="shared" si="3"/>
        <v>0</v>
      </c>
      <c r="DJ23">
        <f>DF23</f>
        <v>-522.07000000000005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5">
      <c r="A24">
        <f>ROW(Source!A47)</f>
        <v>47</v>
      </c>
      <c r="B24">
        <v>80889732</v>
      </c>
      <c r="C24">
        <v>80889933</v>
      </c>
      <c r="D24">
        <v>80215860</v>
      </c>
      <c r="E24">
        <v>1</v>
      </c>
      <c r="F24">
        <v>1</v>
      </c>
      <c r="G24">
        <v>15514512</v>
      </c>
      <c r="H24">
        <v>3</v>
      </c>
      <c r="I24" t="s">
        <v>300</v>
      </c>
      <c r="J24" t="s">
        <v>301</v>
      </c>
      <c r="K24" t="s">
        <v>302</v>
      </c>
      <c r="L24">
        <v>1354</v>
      </c>
      <c r="N24">
        <v>1010</v>
      </c>
      <c r="O24" t="s">
        <v>303</v>
      </c>
      <c r="P24" t="s">
        <v>303</v>
      </c>
      <c r="Q24">
        <v>1</v>
      </c>
      <c r="W24">
        <v>0</v>
      </c>
      <c r="X24">
        <v>-1952007382</v>
      </c>
      <c r="Y24">
        <f>(AT24*5)</f>
        <v>500</v>
      </c>
      <c r="AA24">
        <v>2.75</v>
      </c>
      <c r="AB24">
        <v>0</v>
      </c>
      <c r="AC24">
        <v>0</v>
      </c>
      <c r="AD24">
        <v>0</v>
      </c>
      <c r="AE24">
        <v>2.75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100</v>
      </c>
      <c r="AU24" t="s">
        <v>95</v>
      </c>
      <c r="AV24">
        <v>0</v>
      </c>
      <c r="AW24">
        <v>2</v>
      </c>
      <c r="AX24">
        <v>80890138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ROUND(Y24*Source!I47,9)</f>
        <v>635</v>
      </c>
      <c r="CY24">
        <f>AA24</f>
        <v>2.75</v>
      </c>
      <c r="CZ24">
        <f>AE24</f>
        <v>2.75</v>
      </c>
      <c r="DA24">
        <f>AI24</f>
        <v>1</v>
      </c>
      <c r="DB24">
        <f>ROUND((ROUND(AT24*CZ24,2)*5),6)</f>
        <v>1375</v>
      </c>
      <c r="DC24">
        <f>ROUND((ROUND(AT24*AG24,2)*5),6)</f>
        <v>0</v>
      </c>
      <c r="DD24" t="s">
        <v>3</v>
      </c>
      <c r="DE24" t="s">
        <v>3</v>
      </c>
      <c r="DF24">
        <f t="shared" si="0"/>
        <v>1746.25</v>
      </c>
      <c r="DG24">
        <f t="shared" si="1"/>
        <v>0</v>
      </c>
      <c r="DH24">
        <f t="shared" si="2"/>
        <v>0</v>
      </c>
      <c r="DI24">
        <f t="shared" si="3"/>
        <v>0</v>
      </c>
      <c r="DJ24">
        <f>DF24</f>
        <v>1746.25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5">
      <c r="A25">
        <f>ROW(Source!A49)</f>
        <v>49</v>
      </c>
      <c r="B25">
        <v>80889732</v>
      </c>
      <c r="C25">
        <v>80889934</v>
      </c>
      <c r="D25">
        <v>80199986</v>
      </c>
      <c r="E25">
        <v>15514512</v>
      </c>
      <c r="F25">
        <v>1</v>
      </c>
      <c r="G25">
        <v>15514512</v>
      </c>
      <c r="H25">
        <v>1</v>
      </c>
      <c r="I25" t="s">
        <v>285</v>
      </c>
      <c r="J25" t="s">
        <v>3</v>
      </c>
      <c r="K25" t="s">
        <v>286</v>
      </c>
      <c r="L25">
        <v>1191</v>
      </c>
      <c r="N25">
        <v>1013</v>
      </c>
      <c r="O25" t="s">
        <v>287</v>
      </c>
      <c r="P25" t="s">
        <v>287</v>
      </c>
      <c r="Q25">
        <v>1</v>
      </c>
      <c r="W25">
        <v>0</v>
      </c>
      <c r="X25">
        <v>476480486</v>
      </c>
      <c r="Y25">
        <f>AT25</f>
        <v>0.23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0.23</v>
      </c>
      <c r="AU25" t="s">
        <v>3</v>
      </c>
      <c r="AV25">
        <v>1</v>
      </c>
      <c r="AW25">
        <v>2</v>
      </c>
      <c r="AX25">
        <v>80890140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U25">
        <f>ROUND(AT25*Source!I49*AH25*AL25,2)</f>
        <v>0</v>
      </c>
      <c r="CV25">
        <f>ROUND(Y25*Source!I49,9)</f>
        <v>854.09580000000005</v>
      </c>
      <c r="CW25">
        <v>0</v>
      </c>
      <c r="CX25">
        <f>ROUND(Y25*Source!I49,9)</f>
        <v>854.09580000000005</v>
      </c>
      <c r="CY25">
        <f>AD25</f>
        <v>0</v>
      </c>
      <c r="CZ25">
        <f>AH25</f>
        <v>0</v>
      </c>
      <c r="DA25">
        <f>AL25</f>
        <v>1</v>
      </c>
      <c r="DB25">
        <f>ROUND(ROUND(AT25*CZ25,2),6)</f>
        <v>0</v>
      </c>
      <c r="DC25">
        <f>ROUND(ROUND(AT25*AG25,2),6)</f>
        <v>0</v>
      </c>
      <c r="DD25" t="s">
        <v>3</v>
      </c>
      <c r="DE25" t="s">
        <v>3</v>
      </c>
      <c r="DF25">
        <f t="shared" si="0"/>
        <v>0</v>
      </c>
      <c r="DG25">
        <f t="shared" si="1"/>
        <v>0</v>
      </c>
      <c r="DH25">
        <f t="shared" si="2"/>
        <v>0</v>
      </c>
      <c r="DI25">
        <f t="shared" si="3"/>
        <v>0</v>
      </c>
      <c r="DJ25">
        <f>DI25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5">
      <c r="A26">
        <f>ROW(Source!A50)</f>
        <v>50</v>
      </c>
      <c r="B26">
        <v>80889732</v>
      </c>
      <c r="C26">
        <v>80889935</v>
      </c>
      <c r="D26">
        <v>80199986</v>
      </c>
      <c r="E26">
        <v>15514512</v>
      </c>
      <c r="F26">
        <v>1</v>
      </c>
      <c r="G26">
        <v>15514512</v>
      </c>
      <c r="H26">
        <v>1</v>
      </c>
      <c r="I26" t="s">
        <v>285</v>
      </c>
      <c r="J26" t="s">
        <v>3</v>
      </c>
      <c r="K26" t="s">
        <v>286</v>
      </c>
      <c r="L26">
        <v>1191</v>
      </c>
      <c r="N26">
        <v>1013</v>
      </c>
      <c r="O26" t="s">
        <v>287</v>
      </c>
      <c r="P26" t="s">
        <v>287</v>
      </c>
      <c r="Q26">
        <v>1</v>
      </c>
      <c r="W26">
        <v>0</v>
      </c>
      <c r="X26">
        <v>476480486</v>
      </c>
      <c r="Y26">
        <f>(AT26*166)</f>
        <v>512.93999999999994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3.09</v>
      </c>
      <c r="AU26" t="s">
        <v>105</v>
      </c>
      <c r="AV26">
        <v>1</v>
      </c>
      <c r="AW26">
        <v>2</v>
      </c>
      <c r="AX26">
        <v>80890141</v>
      </c>
      <c r="AY26">
        <v>1</v>
      </c>
      <c r="AZ26">
        <v>2048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U26">
        <f>ROUND(AT26*Source!I50*AH26*AL26,2)</f>
        <v>0</v>
      </c>
      <c r="CV26">
        <f>ROUND(Y26*Source!I50,9)</f>
        <v>240.05591999999999</v>
      </c>
      <c r="CW26">
        <v>0</v>
      </c>
      <c r="CX26">
        <f>ROUND(Y26*Source!I50,9)</f>
        <v>240.05591999999999</v>
      </c>
      <c r="CY26">
        <f>AD26</f>
        <v>0</v>
      </c>
      <c r="CZ26">
        <f>AH26</f>
        <v>0</v>
      </c>
      <c r="DA26">
        <f>AL26</f>
        <v>1</v>
      </c>
      <c r="DB26">
        <f>ROUND((ROUND(AT26*CZ26,2)*166),6)</f>
        <v>0</v>
      </c>
      <c r="DC26">
        <f>ROUND((ROUND(AT26*AG26,2)*166),6)</f>
        <v>0</v>
      </c>
      <c r="DD26" t="s">
        <v>3</v>
      </c>
      <c r="DE26" t="s">
        <v>3</v>
      </c>
      <c r="DF26">
        <f t="shared" si="0"/>
        <v>0</v>
      </c>
      <c r="DG26">
        <f t="shared" si="1"/>
        <v>0</v>
      </c>
      <c r="DH26">
        <f t="shared" si="2"/>
        <v>0</v>
      </c>
      <c r="DI26">
        <f t="shared" si="3"/>
        <v>0</v>
      </c>
      <c r="DJ26">
        <f>DI26</f>
        <v>0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5">
      <c r="A27">
        <f>ROW(Source!A86)</f>
        <v>86</v>
      </c>
      <c r="B27">
        <v>80889732</v>
      </c>
      <c r="C27">
        <v>80889994</v>
      </c>
      <c r="D27">
        <v>80213221</v>
      </c>
      <c r="E27">
        <v>1</v>
      </c>
      <c r="F27">
        <v>1</v>
      </c>
      <c r="G27">
        <v>15514512</v>
      </c>
      <c r="H27">
        <v>2</v>
      </c>
      <c r="I27" t="s">
        <v>288</v>
      </c>
      <c r="J27" t="s">
        <v>289</v>
      </c>
      <c r="K27" t="s">
        <v>290</v>
      </c>
      <c r="L27">
        <v>1368</v>
      </c>
      <c r="N27">
        <v>1011</v>
      </c>
      <c r="O27" t="s">
        <v>284</v>
      </c>
      <c r="P27" t="s">
        <v>284</v>
      </c>
      <c r="Q27">
        <v>1</v>
      </c>
      <c r="W27">
        <v>0</v>
      </c>
      <c r="X27">
        <v>-566548736</v>
      </c>
      <c r="Y27">
        <f t="shared" ref="Y27:Y32" si="4">(AT27*171)</f>
        <v>44.46</v>
      </c>
      <c r="AA27">
        <v>0</v>
      </c>
      <c r="AB27">
        <v>1783.28</v>
      </c>
      <c r="AC27">
        <v>842.87</v>
      </c>
      <c r="AD27">
        <v>0</v>
      </c>
      <c r="AE27">
        <v>0</v>
      </c>
      <c r="AF27">
        <v>1783.28</v>
      </c>
      <c r="AG27">
        <v>842.87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0.26</v>
      </c>
      <c r="AU27" t="s">
        <v>161</v>
      </c>
      <c r="AV27">
        <v>0</v>
      </c>
      <c r="AW27">
        <v>2</v>
      </c>
      <c r="AX27">
        <v>80890142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f>ROUND(Y27*Source!I86*DO27,9)</f>
        <v>0</v>
      </c>
      <c r="CX27">
        <f>ROUND(Y27*Source!I86,9)</f>
        <v>5494.5126288000001</v>
      </c>
      <c r="CY27">
        <f>AB27</f>
        <v>1783.28</v>
      </c>
      <c r="CZ27">
        <f>AF27</f>
        <v>1783.28</v>
      </c>
      <c r="DA27">
        <f>AJ27</f>
        <v>1</v>
      </c>
      <c r="DB27">
        <f t="shared" ref="DB27:DB32" si="5">ROUND((ROUND(AT27*CZ27,2)*171),6)</f>
        <v>79284.149999999994</v>
      </c>
      <c r="DC27">
        <f t="shared" ref="DC27:DC32" si="6">ROUND((ROUND(AT27*AG27,2)*171),6)</f>
        <v>37474.65</v>
      </c>
      <c r="DD27" t="s">
        <v>3</v>
      </c>
      <c r="DE27" t="s">
        <v>3</v>
      </c>
      <c r="DF27">
        <f t="shared" si="0"/>
        <v>0</v>
      </c>
      <c r="DG27">
        <f t="shared" si="1"/>
        <v>9798254.4800000004</v>
      </c>
      <c r="DH27">
        <f t="shared" si="2"/>
        <v>4631159.8600000003</v>
      </c>
      <c r="DI27">
        <f t="shared" si="3"/>
        <v>0</v>
      </c>
      <c r="DJ27">
        <f>DG27</f>
        <v>9798254.4800000004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5">
      <c r="A28">
        <f>ROW(Source!A86)</f>
        <v>86</v>
      </c>
      <c r="B28">
        <v>80889732</v>
      </c>
      <c r="C28">
        <v>80889994</v>
      </c>
      <c r="D28">
        <v>80215470</v>
      </c>
      <c r="E28">
        <v>1</v>
      </c>
      <c r="F28">
        <v>1</v>
      </c>
      <c r="G28">
        <v>15514512</v>
      </c>
      <c r="H28">
        <v>3</v>
      </c>
      <c r="I28" t="s">
        <v>37</v>
      </c>
      <c r="J28" t="s">
        <v>40</v>
      </c>
      <c r="K28" t="s">
        <v>38</v>
      </c>
      <c r="L28">
        <v>1339</v>
      </c>
      <c r="N28">
        <v>1007</v>
      </c>
      <c r="O28" t="s">
        <v>39</v>
      </c>
      <c r="P28" t="s">
        <v>39</v>
      </c>
      <c r="Q28">
        <v>1</v>
      </c>
      <c r="W28">
        <v>1</v>
      </c>
      <c r="X28">
        <v>2112060389</v>
      </c>
      <c r="Y28">
        <f t="shared" si="4"/>
        <v>-34.200000000000003</v>
      </c>
      <c r="AA28">
        <v>54.81</v>
      </c>
      <c r="AB28">
        <v>0</v>
      </c>
      <c r="AC28">
        <v>0</v>
      </c>
      <c r="AD28">
        <v>0</v>
      </c>
      <c r="AE28">
        <v>54.81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-0.2</v>
      </c>
      <c r="AU28" t="s">
        <v>161</v>
      </c>
      <c r="AV28">
        <v>0</v>
      </c>
      <c r="AW28">
        <v>2</v>
      </c>
      <c r="AX28">
        <v>80890143</v>
      </c>
      <c r="AY28">
        <v>1</v>
      </c>
      <c r="AZ28">
        <v>6144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ROUND(Y28*Source!I86,9)</f>
        <v>-4226.5481760000002</v>
      </c>
      <c r="CY28">
        <f>AA28</f>
        <v>54.81</v>
      </c>
      <c r="CZ28">
        <f>AE28</f>
        <v>54.81</v>
      </c>
      <c r="DA28">
        <f>AI28</f>
        <v>1</v>
      </c>
      <c r="DB28">
        <f t="shared" si="5"/>
        <v>-1874.16</v>
      </c>
      <c r="DC28">
        <f t="shared" si="6"/>
        <v>0</v>
      </c>
      <c r="DD28" t="s">
        <v>3</v>
      </c>
      <c r="DE28" t="s">
        <v>3</v>
      </c>
      <c r="DF28">
        <f t="shared" si="0"/>
        <v>-231657.11</v>
      </c>
      <c r="DG28">
        <f t="shared" si="1"/>
        <v>0</v>
      </c>
      <c r="DH28">
        <f t="shared" si="2"/>
        <v>0</v>
      </c>
      <c r="DI28">
        <f t="shared" si="3"/>
        <v>0</v>
      </c>
      <c r="DJ28">
        <f>DF28</f>
        <v>-231657.11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5">
      <c r="A29">
        <f>ROW(Source!A88)</f>
        <v>88</v>
      </c>
      <c r="B29">
        <v>80889732</v>
      </c>
      <c r="C29">
        <v>80889995</v>
      </c>
      <c r="D29">
        <v>80199986</v>
      </c>
      <c r="E29">
        <v>15514512</v>
      </c>
      <c r="F29">
        <v>1</v>
      </c>
      <c r="G29">
        <v>15514512</v>
      </c>
      <c r="H29">
        <v>1</v>
      </c>
      <c r="I29" t="s">
        <v>285</v>
      </c>
      <c r="J29" t="s">
        <v>3</v>
      </c>
      <c r="K29" t="s">
        <v>286</v>
      </c>
      <c r="L29">
        <v>1191</v>
      </c>
      <c r="N29">
        <v>1013</v>
      </c>
      <c r="O29" t="s">
        <v>287</v>
      </c>
      <c r="P29" t="s">
        <v>287</v>
      </c>
      <c r="Q29">
        <v>1</v>
      </c>
      <c r="W29">
        <v>0</v>
      </c>
      <c r="X29">
        <v>476480486</v>
      </c>
      <c r="Y29">
        <f t="shared" si="4"/>
        <v>23.94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0.14000000000000001</v>
      </c>
      <c r="AU29" t="s">
        <v>161</v>
      </c>
      <c r="AV29">
        <v>1</v>
      </c>
      <c r="AW29">
        <v>2</v>
      </c>
      <c r="AX29">
        <v>80890145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U29">
        <f>ROUND(AT29*Source!I88*AH29*AL29,2)</f>
        <v>0</v>
      </c>
      <c r="CV29">
        <f>ROUND(Y29*Source!I88,9)</f>
        <v>7396.4593080000004</v>
      </c>
      <c r="CW29">
        <v>0</v>
      </c>
      <c r="CX29">
        <f>ROUND(Y29*Source!I88,9)</f>
        <v>7396.4593080000004</v>
      </c>
      <c r="CY29">
        <f>AD29</f>
        <v>0</v>
      </c>
      <c r="CZ29">
        <f>AH29</f>
        <v>0</v>
      </c>
      <c r="DA29">
        <f>AL29</f>
        <v>1</v>
      </c>
      <c r="DB29">
        <f t="shared" si="5"/>
        <v>0</v>
      </c>
      <c r="DC29">
        <f t="shared" si="6"/>
        <v>0</v>
      </c>
      <c r="DD29" t="s">
        <v>3</v>
      </c>
      <c r="DE29" t="s">
        <v>3</v>
      </c>
      <c r="DF29">
        <f t="shared" si="0"/>
        <v>0</v>
      </c>
      <c r="DG29">
        <f t="shared" si="1"/>
        <v>0</v>
      </c>
      <c r="DH29">
        <f t="shared" si="2"/>
        <v>0</v>
      </c>
      <c r="DI29">
        <f t="shared" si="3"/>
        <v>0</v>
      </c>
      <c r="DJ29">
        <f>DI29</f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5">
      <c r="A30">
        <f>ROW(Source!A89)</f>
        <v>89</v>
      </c>
      <c r="B30">
        <v>80889732</v>
      </c>
      <c r="C30">
        <v>80889996</v>
      </c>
      <c r="D30">
        <v>80199986</v>
      </c>
      <c r="E30">
        <v>15514512</v>
      </c>
      <c r="F30">
        <v>1</v>
      </c>
      <c r="G30">
        <v>15514512</v>
      </c>
      <c r="H30">
        <v>1</v>
      </c>
      <c r="I30" t="s">
        <v>285</v>
      </c>
      <c r="J30" t="s">
        <v>3</v>
      </c>
      <c r="K30" t="s">
        <v>286</v>
      </c>
      <c r="L30">
        <v>1191</v>
      </c>
      <c r="N30">
        <v>1013</v>
      </c>
      <c r="O30" t="s">
        <v>287</v>
      </c>
      <c r="P30" t="s">
        <v>287</v>
      </c>
      <c r="Q30">
        <v>1</v>
      </c>
      <c r="W30">
        <v>0</v>
      </c>
      <c r="X30">
        <v>476480486</v>
      </c>
      <c r="Y30">
        <f t="shared" si="4"/>
        <v>41.04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0.24</v>
      </c>
      <c r="AU30" t="s">
        <v>161</v>
      </c>
      <c r="AV30">
        <v>1</v>
      </c>
      <c r="AW30">
        <v>2</v>
      </c>
      <c r="AX30">
        <v>80890146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U30">
        <f>ROUND(AT30*Source!I89*AH30*AL30,2)</f>
        <v>0</v>
      </c>
      <c r="CV30">
        <f>ROUND(Y30*Source!I89,9)</f>
        <v>2495.7244799999999</v>
      </c>
      <c r="CW30">
        <v>0</v>
      </c>
      <c r="CX30">
        <f>ROUND(Y30*Source!I89,9)</f>
        <v>2495.7244799999999</v>
      </c>
      <c r="CY30">
        <f>AD30</f>
        <v>0</v>
      </c>
      <c r="CZ30">
        <f>AH30</f>
        <v>0</v>
      </c>
      <c r="DA30">
        <f>AL30</f>
        <v>1</v>
      </c>
      <c r="DB30">
        <f t="shared" si="5"/>
        <v>0</v>
      </c>
      <c r="DC30">
        <f t="shared" si="6"/>
        <v>0</v>
      </c>
      <c r="DD30" t="s">
        <v>3</v>
      </c>
      <c r="DE30" t="s">
        <v>3</v>
      </c>
      <c r="DF30">
        <f t="shared" si="0"/>
        <v>0</v>
      </c>
      <c r="DG30">
        <f t="shared" si="1"/>
        <v>0</v>
      </c>
      <c r="DH30">
        <f t="shared" si="2"/>
        <v>0</v>
      </c>
      <c r="DI30">
        <f t="shared" si="3"/>
        <v>0</v>
      </c>
      <c r="DJ30">
        <f>DI30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5">
      <c r="A31">
        <f>ROW(Source!A90)</f>
        <v>90</v>
      </c>
      <c r="B31">
        <v>80889732</v>
      </c>
      <c r="C31">
        <v>80889997</v>
      </c>
      <c r="D31">
        <v>80199986</v>
      </c>
      <c r="E31">
        <v>15514512</v>
      </c>
      <c r="F31">
        <v>1</v>
      </c>
      <c r="G31">
        <v>15514512</v>
      </c>
      <c r="H31">
        <v>1</v>
      </c>
      <c r="I31" t="s">
        <v>285</v>
      </c>
      <c r="J31" t="s">
        <v>3</v>
      </c>
      <c r="K31" t="s">
        <v>286</v>
      </c>
      <c r="L31">
        <v>1191</v>
      </c>
      <c r="N31">
        <v>1013</v>
      </c>
      <c r="O31" t="s">
        <v>287</v>
      </c>
      <c r="P31" t="s">
        <v>287</v>
      </c>
      <c r="Q31">
        <v>1</v>
      </c>
      <c r="W31">
        <v>0</v>
      </c>
      <c r="X31">
        <v>476480486</v>
      </c>
      <c r="Y31">
        <f t="shared" si="4"/>
        <v>39.33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0.23</v>
      </c>
      <c r="AU31" t="s">
        <v>161</v>
      </c>
      <c r="AV31">
        <v>1</v>
      </c>
      <c r="AW31">
        <v>2</v>
      </c>
      <c r="AX31">
        <v>80890147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U31">
        <f>ROUND(AT31*Source!I90*AH31*AL31,2)</f>
        <v>0</v>
      </c>
      <c r="CV31">
        <f>ROUND(Y31*Source!I90,9)</f>
        <v>1563.7608</v>
      </c>
      <c r="CW31">
        <v>0</v>
      </c>
      <c r="CX31">
        <f>ROUND(Y31*Source!I90,9)</f>
        <v>1563.7608</v>
      </c>
      <c r="CY31">
        <f>AD31</f>
        <v>0</v>
      </c>
      <c r="CZ31">
        <f>AH31</f>
        <v>0</v>
      </c>
      <c r="DA31">
        <f>AL31</f>
        <v>1</v>
      </c>
      <c r="DB31">
        <f t="shared" si="5"/>
        <v>0</v>
      </c>
      <c r="DC31">
        <f t="shared" si="6"/>
        <v>0</v>
      </c>
      <c r="DD31" t="s">
        <v>3</v>
      </c>
      <c r="DE31" t="s">
        <v>3</v>
      </c>
      <c r="DF31">
        <f t="shared" si="0"/>
        <v>0</v>
      </c>
      <c r="DG31">
        <f t="shared" si="1"/>
        <v>0</v>
      </c>
      <c r="DH31">
        <f t="shared" si="2"/>
        <v>0</v>
      </c>
      <c r="DI31">
        <f t="shared" si="3"/>
        <v>0</v>
      </c>
      <c r="DJ31">
        <f>DI31</f>
        <v>0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5">
      <c r="A32">
        <f>ROW(Source!A90)</f>
        <v>90</v>
      </c>
      <c r="B32">
        <v>80889732</v>
      </c>
      <c r="C32">
        <v>80889997</v>
      </c>
      <c r="D32">
        <v>80215860</v>
      </c>
      <c r="E32">
        <v>1</v>
      </c>
      <c r="F32">
        <v>1</v>
      </c>
      <c r="G32">
        <v>15514512</v>
      </c>
      <c r="H32">
        <v>3</v>
      </c>
      <c r="I32" t="s">
        <v>300</v>
      </c>
      <c r="J32" t="s">
        <v>301</v>
      </c>
      <c r="K32" t="s">
        <v>302</v>
      </c>
      <c r="L32">
        <v>1354</v>
      </c>
      <c r="N32">
        <v>1010</v>
      </c>
      <c r="O32" t="s">
        <v>303</v>
      </c>
      <c r="P32" t="s">
        <v>303</v>
      </c>
      <c r="Q32">
        <v>1</v>
      </c>
      <c r="W32">
        <v>0</v>
      </c>
      <c r="X32">
        <v>-1952007382</v>
      </c>
      <c r="Y32">
        <f t="shared" si="4"/>
        <v>171</v>
      </c>
      <c r="AA32">
        <v>2.75</v>
      </c>
      <c r="AB32">
        <v>0</v>
      </c>
      <c r="AC32">
        <v>0</v>
      </c>
      <c r="AD32">
        <v>0</v>
      </c>
      <c r="AE32">
        <v>2.75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1</v>
      </c>
      <c r="AU32" t="s">
        <v>161</v>
      </c>
      <c r="AV32">
        <v>0</v>
      </c>
      <c r="AW32">
        <v>2</v>
      </c>
      <c r="AX32">
        <v>80890148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ROUND(Y32*Source!I90,9)</f>
        <v>6798.96</v>
      </c>
      <c r="CY32">
        <f>AA32</f>
        <v>2.75</v>
      </c>
      <c r="CZ32">
        <f>AE32</f>
        <v>2.75</v>
      </c>
      <c r="DA32">
        <f>AI32</f>
        <v>1</v>
      </c>
      <c r="DB32">
        <f t="shared" si="5"/>
        <v>470.25</v>
      </c>
      <c r="DC32">
        <f t="shared" si="6"/>
        <v>0</v>
      </c>
      <c r="DD32" t="s">
        <v>3</v>
      </c>
      <c r="DE32" t="s">
        <v>3</v>
      </c>
      <c r="DF32">
        <f t="shared" si="0"/>
        <v>18697.14</v>
      </c>
      <c r="DG32">
        <f t="shared" si="1"/>
        <v>0</v>
      </c>
      <c r="DH32">
        <f t="shared" si="2"/>
        <v>0</v>
      </c>
      <c r="DI32">
        <f t="shared" si="3"/>
        <v>0</v>
      </c>
      <c r="DJ32">
        <f>DF32</f>
        <v>18697.14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5">
      <c r="A33">
        <f>ROW(Source!A91)</f>
        <v>91</v>
      </c>
      <c r="B33">
        <v>80889732</v>
      </c>
      <c r="C33">
        <v>80889998</v>
      </c>
      <c r="D33">
        <v>80213221</v>
      </c>
      <c r="E33">
        <v>1</v>
      </c>
      <c r="F33">
        <v>1</v>
      </c>
      <c r="G33">
        <v>15514512</v>
      </c>
      <c r="H33">
        <v>2</v>
      </c>
      <c r="I33" t="s">
        <v>288</v>
      </c>
      <c r="J33" t="s">
        <v>289</v>
      </c>
      <c r="K33" t="s">
        <v>290</v>
      </c>
      <c r="L33">
        <v>1368</v>
      </c>
      <c r="N33">
        <v>1011</v>
      </c>
      <c r="O33" t="s">
        <v>284</v>
      </c>
      <c r="P33" t="s">
        <v>284</v>
      </c>
      <c r="Q33">
        <v>1</v>
      </c>
      <c r="W33">
        <v>0</v>
      </c>
      <c r="X33">
        <v>-566548736</v>
      </c>
      <c r="Y33">
        <f>(AT33*19)</f>
        <v>7.9799999999999995</v>
      </c>
      <c r="AA33">
        <v>0</v>
      </c>
      <c r="AB33">
        <v>1783.28</v>
      </c>
      <c r="AC33">
        <v>842.87</v>
      </c>
      <c r="AD33">
        <v>0</v>
      </c>
      <c r="AE33">
        <v>0</v>
      </c>
      <c r="AF33">
        <v>1783.28</v>
      </c>
      <c r="AG33">
        <v>842.87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0.42</v>
      </c>
      <c r="AU33" t="s">
        <v>172</v>
      </c>
      <c r="AV33">
        <v>0</v>
      </c>
      <c r="AW33">
        <v>2</v>
      </c>
      <c r="AX33">
        <v>80890149</v>
      </c>
      <c r="AY33">
        <v>1</v>
      </c>
      <c r="AZ33">
        <v>2048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f>ROUND(Y33*Source!I91*DO33,9)</f>
        <v>0</v>
      </c>
      <c r="CX33">
        <f>ROUND(Y33*Source!I91,9)</f>
        <v>1232.7432180000001</v>
      </c>
      <c r="CY33">
        <f>AB33</f>
        <v>1783.28</v>
      </c>
      <c r="CZ33">
        <f>AF33</f>
        <v>1783.28</v>
      </c>
      <c r="DA33">
        <f>AJ33</f>
        <v>1</v>
      </c>
      <c r="DB33">
        <f>ROUND((ROUND(AT33*CZ33,2)*19),6)</f>
        <v>14230.62</v>
      </c>
      <c r="DC33">
        <f>ROUND((ROUND(AT33*AG33,2)*19),6)</f>
        <v>6726.19</v>
      </c>
      <c r="DD33" t="s">
        <v>3</v>
      </c>
      <c r="DE33" t="s">
        <v>3</v>
      </c>
      <c r="DF33">
        <f t="shared" ref="DF33:DF64" si="7">ROUND(ROUND(AE33,2)*CX33,2)</f>
        <v>0</v>
      </c>
      <c r="DG33">
        <f t="shared" ref="DG33:DG64" si="8">ROUND(ROUND(AF33,2)*CX33,2)</f>
        <v>2198326.33</v>
      </c>
      <c r="DH33">
        <f t="shared" ref="DH33:DH64" si="9">ROUND(ROUND(AG33,2)*CX33,2)</f>
        <v>1039042.28</v>
      </c>
      <c r="DI33">
        <f t="shared" ref="DI33:DI64" si="10">ROUND(ROUND(AH33,2)*CX33,2)</f>
        <v>0</v>
      </c>
      <c r="DJ33">
        <f>DG33</f>
        <v>2198326.33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5">
      <c r="A34">
        <f>ROW(Source!A91)</f>
        <v>91</v>
      </c>
      <c r="B34">
        <v>80889732</v>
      </c>
      <c r="C34">
        <v>80889998</v>
      </c>
      <c r="D34">
        <v>80215470</v>
      </c>
      <c r="E34">
        <v>1</v>
      </c>
      <c r="F34">
        <v>1</v>
      </c>
      <c r="G34">
        <v>15514512</v>
      </c>
      <c r="H34">
        <v>3</v>
      </c>
      <c r="I34" t="s">
        <v>37</v>
      </c>
      <c r="J34" t="s">
        <v>40</v>
      </c>
      <c r="K34" t="s">
        <v>38</v>
      </c>
      <c r="L34">
        <v>1339</v>
      </c>
      <c r="N34">
        <v>1007</v>
      </c>
      <c r="O34" t="s">
        <v>39</v>
      </c>
      <c r="P34" t="s">
        <v>39</v>
      </c>
      <c r="Q34">
        <v>1</v>
      </c>
      <c r="W34">
        <v>1</v>
      </c>
      <c r="X34">
        <v>2112060389</v>
      </c>
      <c r="Y34">
        <f>(AT34*19)</f>
        <v>-6.6499999999999995</v>
      </c>
      <c r="AA34">
        <v>54.81</v>
      </c>
      <c r="AB34">
        <v>0</v>
      </c>
      <c r="AC34">
        <v>0</v>
      </c>
      <c r="AD34">
        <v>0</v>
      </c>
      <c r="AE34">
        <v>54.81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-0.35</v>
      </c>
      <c r="AU34" t="s">
        <v>172</v>
      </c>
      <c r="AV34">
        <v>0</v>
      </c>
      <c r="AW34">
        <v>2</v>
      </c>
      <c r="AX34">
        <v>80890150</v>
      </c>
      <c r="AY34">
        <v>1</v>
      </c>
      <c r="AZ34">
        <v>6144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ROUND(Y34*Source!I91,9)</f>
        <v>-1027.2860149999999</v>
      </c>
      <c r="CY34">
        <f>AA34</f>
        <v>54.81</v>
      </c>
      <c r="CZ34">
        <f>AE34</f>
        <v>54.81</v>
      </c>
      <c r="DA34">
        <f>AI34</f>
        <v>1</v>
      </c>
      <c r="DB34">
        <f>ROUND((ROUND(AT34*CZ34,2)*19),6)</f>
        <v>-364.42</v>
      </c>
      <c r="DC34">
        <f>ROUND((ROUND(AT34*AG34,2)*19),6)</f>
        <v>0</v>
      </c>
      <c r="DD34" t="s">
        <v>3</v>
      </c>
      <c r="DE34" t="s">
        <v>3</v>
      </c>
      <c r="DF34">
        <f t="shared" si="7"/>
        <v>-56305.55</v>
      </c>
      <c r="DG34">
        <f t="shared" si="8"/>
        <v>0</v>
      </c>
      <c r="DH34">
        <f t="shared" si="9"/>
        <v>0</v>
      </c>
      <c r="DI34">
        <f t="shared" si="10"/>
        <v>0</v>
      </c>
      <c r="DJ34">
        <f>DF34</f>
        <v>-56305.55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5">
      <c r="A35">
        <f>ROW(Source!A93)</f>
        <v>93</v>
      </c>
      <c r="B35">
        <v>80889732</v>
      </c>
      <c r="C35">
        <v>80889999</v>
      </c>
      <c r="D35">
        <v>80213221</v>
      </c>
      <c r="E35">
        <v>1</v>
      </c>
      <c r="F35">
        <v>1</v>
      </c>
      <c r="G35">
        <v>15514512</v>
      </c>
      <c r="H35">
        <v>2</v>
      </c>
      <c r="I35" t="s">
        <v>288</v>
      </c>
      <c r="J35" t="s">
        <v>289</v>
      </c>
      <c r="K35" t="s">
        <v>290</v>
      </c>
      <c r="L35">
        <v>1368</v>
      </c>
      <c r="N35">
        <v>1011</v>
      </c>
      <c r="O35" t="s">
        <v>284</v>
      </c>
      <c r="P35" t="s">
        <v>284</v>
      </c>
      <c r="Q35">
        <v>1</v>
      </c>
      <c r="W35">
        <v>0</v>
      </c>
      <c r="X35">
        <v>-566548736</v>
      </c>
      <c r="Y35">
        <f>AT35</f>
        <v>0.66</v>
      </c>
      <c r="AA35">
        <v>0</v>
      </c>
      <c r="AB35">
        <v>1783.28</v>
      </c>
      <c r="AC35">
        <v>842.87</v>
      </c>
      <c r="AD35">
        <v>0</v>
      </c>
      <c r="AE35">
        <v>0</v>
      </c>
      <c r="AF35">
        <v>1783.28</v>
      </c>
      <c r="AG35">
        <v>842.87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0.66</v>
      </c>
      <c r="AU35" t="s">
        <v>3</v>
      </c>
      <c r="AV35">
        <v>0</v>
      </c>
      <c r="AW35">
        <v>2</v>
      </c>
      <c r="AX35">
        <v>80890152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f>ROUND(Y35*Source!I93*DO35,9)</f>
        <v>0</v>
      </c>
      <c r="CX35">
        <f>ROUND(Y35*Source!I93,9)</f>
        <v>101.95620599999999</v>
      </c>
      <c r="CY35">
        <f>AB35</f>
        <v>1783.28</v>
      </c>
      <c r="CZ35">
        <f>AF35</f>
        <v>1783.28</v>
      </c>
      <c r="DA35">
        <f>AJ35</f>
        <v>1</v>
      </c>
      <c r="DB35">
        <f>ROUND(ROUND(AT35*CZ35,2),6)</f>
        <v>1176.96</v>
      </c>
      <c r="DC35">
        <f>ROUND(ROUND(AT35*AG35,2),6)</f>
        <v>556.29</v>
      </c>
      <c r="DD35" t="s">
        <v>3</v>
      </c>
      <c r="DE35" t="s">
        <v>3</v>
      </c>
      <c r="DF35">
        <f t="shared" si="7"/>
        <v>0</v>
      </c>
      <c r="DG35">
        <f t="shared" si="8"/>
        <v>181816.46</v>
      </c>
      <c r="DH35">
        <f t="shared" si="9"/>
        <v>85935.83</v>
      </c>
      <c r="DI35">
        <f t="shared" si="10"/>
        <v>0</v>
      </c>
      <c r="DJ35">
        <f>DG35</f>
        <v>181816.46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5">
      <c r="A36">
        <f>ROW(Source!A93)</f>
        <v>93</v>
      </c>
      <c r="B36">
        <v>80889732</v>
      </c>
      <c r="C36">
        <v>80889999</v>
      </c>
      <c r="D36">
        <v>80215394</v>
      </c>
      <c r="E36">
        <v>1</v>
      </c>
      <c r="F36">
        <v>1</v>
      </c>
      <c r="G36">
        <v>15514512</v>
      </c>
      <c r="H36">
        <v>3</v>
      </c>
      <c r="I36" t="s">
        <v>307</v>
      </c>
      <c r="J36" t="s">
        <v>308</v>
      </c>
      <c r="K36" t="s">
        <v>309</v>
      </c>
      <c r="L36">
        <v>1296</v>
      </c>
      <c r="N36">
        <v>1002</v>
      </c>
      <c r="O36" t="s">
        <v>263</v>
      </c>
      <c r="P36" t="s">
        <v>263</v>
      </c>
      <c r="Q36">
        <v>1</v>
      </c>
      <c r="W36">
        <v>0</v>
      </c>
      <c r="X36">
        <v>427032128</v>
      </c>
      <c r="Y36">
        <f>AT36</f>
        <v>1.1200000000000001</v>
      </c>
      <c r="AA36">
        <v>256.36</v>
      </c>
      <c r="AB36">
        <v>0</v>
      </c>
      <c r="AC36">
        <v>0</v>
      </c>
      <c r="AD36">
        <v>0</v>
      </c>
      <c r="AE36">
        <v>256.36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1.1200000000000001</v>
      </c>
      <c r="AU36" t="s">
        <v>3</v>
      </c>
      <c r="AV36">
        <v>0</v>
      </c>
      <c r="AW36">
        <v>2</v>
      </c>
      <c r="AX36">
        <v>80890153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ROUND(Y36*Source!I93,9)</f>
        <v>173.016592</v>
      </c>
      <c r="CY36">
        <f>AA36</f>
        <v>256.36</v>
      </c>
      <c r="CZ36">
        <f>AE36</f>
        <v>256.36</v>
      </c>
      <c r="DA36">
        <f>AI36</f>
        <v>1</v>
      </c>
      <c r="DB36">
        <f>ROUND(ROUND(AT36*CZ36,2),6)</f>
        <v>287.12</v>
      </c>
      <c r="DC36">
        <f>ROUND(ROUND(AT36*AG36,2),6)</f>
        <v>0</v>
      </c>
      <c r="DD36" t="s">
        <v>3</v>
      </c>
      <c r="DE36" t="s">
        <v>3</v>
      </c>
      <c r="DF36">
        <f t="shared" si="7"/>
        <v>44354.53</v>
      </c>
      <c r="DG36">
        <f t="shared" si="8"/>
        <v>0</v>
      </c>
      <c r="DH36">
        <f t="shared" si="9"/>
        <v>0</v>
      </c>
      <c r="DI36">
        <f t="shared" si="10"/>
        <v>0</v>
      </c>
      <c r="DJ36">
        <f>DF36</f>
        <v>44354.53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5">
      <c r="A37">
        <f>ROW(Source!A93)</f>
        <v>93</v>
      </c>
      <c r="B37">
        <v>80889732</v>
      </c>
      <c r="C37">
        <v>80889999</v>
      </c>
      <c r="D37">
        <v>80215470</v>
      </c>
      <c r="E37">
        <v>1</v>
      </c>
      <c r="F37">
        <v>1</v>
      </c>
      <c r="G37">
        <v>15514512</v>
      </c>
      <c r="H37">
        <v>3</v>
      </c>
      <c r="I37" t="s">
        <v>37</v>
      </c>
      <c r="J37" t="s">
        <v>40</v>
      </c>
      <c r="K37" t="s">
        <v>38</v>
      </c>
      <c r="L37">
        <v>1339</v>
      </c>
      <c r="N37">
        <v>1007</v>
      </c>
      <c r="O37" t="s">
        <v>39</v>
      </c>
      <c r="P37" t="s">
        <v>39</v>
      </c>
      <c r="Q37">
        <v>1</v>
      </c>
      <c r="W37">
        <v>1</v>
      </c>
      <c r="X37">
        <v>2112060389</v>
      </c>
      <c r="Y37">
        <f>AT37</f>
        <v>-1.1200000000000001</v>
      </c>
      <c r="AA37">
        <v>54.81</v>
      </c>
      <c r="AB37">
        <v>0</v>
      </c>
      <c r="AC37">
        <v>0</v>
      </c>
      <c r="AD37">
        <v>0</v>
      </c>
      <c r="AE37">
        <v>54.81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-1.1200000000000001</v>
      </c>
      <c r="AU37" t="s">
        <v>3</v>
      </c>
      <c r="AV37">
        <v>0</v>
      </c>
      <c r="AW37">
        <v>2</v>
      </c>
      <c r="AX37">
        <v>80890154</v>
      </c>
      <c r="AY37">
        <v>1</v>
      </c>
      <c r="AZ37">
        <v>6144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ROUND(Y37*Source!I93,9)</f>
        <v>-173.016592</v>
      </c>
      <c r="CY37">
        <f>AA37</f>
        <v>54.81</v>
      </c>
      <c r="CZ37">
        <f>AE37</f>
        <v>54.81</v>
      </c>
      <c r="DA37">
        <f>AI37</f>
        <v>1</v>
      </c>
      <c r="DB37">
        <f>ROUND(ROUND(AT37*CZ37,2),6)</f>
        <v>-61.39</v>
      </c>
      <c r="DC37">
        <f>ROUND(ROUND(AT37*AG37,2),6)</f>
        <v>0</v>
      </c>
      <c r="DD37" t="s">
        <v>3</v>
      </c>
      <c r="DE37" t="s">
        <v>3</v>
      </c>
      <c r="DF37">
        <f t="shared" si="7"/>
        <v>-9483.0400000000009</v>
      </c>
      <c r="DG37">
        <f t="shared" si="8"/>
        <v>0</v>
      </c>
      <c r="DH37">
        <f t="shared" si="9"/>
        <v>0</v>
      </c>
      <c r="DI37">
        <f t="shared" si="10"/>
        <v>0</v>
      </c>
      <c r="DJ37">
        <f>DF37</f>
        <v>-9483.0400000000009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5">
      <c r="A38">
        <f>ROW(Source!A95)</f>
        <v>95</v>
      </c>
      <c r="B38">
        <v>80889732</v>
      </c>
      <c r="C38">
        <v>80890000</v>
      </c>
      <c r="D38">
        <v>80199986</v>
      </c>
      <c r="E38">
        <v>15514512</v>
      </c>
      <c r="F38">
        <v>1</v>
      </c>
      <c r="G38">
        <v>15514512</v>
      </c>
      <c r="H38">
        <v>1</v>
      </c>
      <c r="I38" t="s">
        <v>285</v>
      </c>
      <c r="J38" t="s">
        <v>3</v>
      </c>
      <c r="K38" t="s">
        <v>286</v>
      </c>
      <c r="L38">
        <v>1191</v>
      </c>
      <c r="N38">
        <v>1013</v>
      </c>
      <c r="O38" t="s">
        <v>287</v>
      </c>
      <c r="P38" t="s">
        <v>287</v>
      </c>
      <c r="Q38">
        <v>1</v>
      </c>
      <c r="W38">
        <v>0</v>
      </c>
      <c r="X38">
        <v>476480486</v>
      </c>
      <c r="Y38">
        <f>(AT38*28)</f>
        <v>147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5.25</v>
      </c>
      <c r="AU38" t="s">
        <v>181</v>
      </c>
      <c r="AV38">
        <v>1</v>
      </c>
      <c r="AW38">
        <v>2</v>
      </c>
      <c r="AX38">
        <v>80890156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U38">
        <f>ROUND(AT38*Source!I95*AH38*AL38,2)</f>
        <v>0</v>
      </c>
      <c r="CV38">
        <f>ROUND(Y38*Source!I95,9)</f>
        <v>232.61279999999999</v>
      </c>
      <c r="CW38">
        <v>0</v>
      </c>
      <c r="CX38">
        <f>ROUND(Y38*Source!I95,9)</f>
        <v>232.61279999999999</v>
      </c>
      <c r="CY38">
        <f>AD38</f>
        <v>0</v>
      </c>
      <c r="CZ38">
        <f>AH38</f>
        <v>0</v>
      </c>
      <c r="DA38">
        <f>AL38</f>
        <v>1</v>
      </c>
      <c r="DB38">
        <f>ROUND((ROUND(AT38*CZ38,2)*28),6)</f>
        <v>0</v>
      </c>
      <c r="DC38">
        <f>ROUND((ROUND(AT38*AG38,2)*28),6)</f>
        <v>0</v>
      </c>
      <c r="DD38" t="s">
        <v>3</v>
      </c>
      <c r="DE38" t="s">
        <v>3</v>
      </c>
      <c r="DF38">
        <f t="shared" si="7"/>
        <v>0</v>
      </c>
      <c r="DG38">
        <f t="shared" si="8"/>
        <v>0</v>
      </c>
      <c r="DH38">
        <f t="shared" si="9"/>
        <v>0</v>
      </c>
      <c r="DI38">
        <f t="shared" si="10"/>
        <v>0</v>
      </c>
      <c r="DJ38">
        <f>DI38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5">
      <c r="A39">
        <f>ROW(Source!A95)</f>
        <v>95</v>
      </c>
      <c r="B39">
        <v>80889732</v>
      </c>
      <c r="C39">
        <v>80890000</v>
      </c>
      <c r="D39">
        <v>80215377</v>
      </c>
      <c r="E39">
        <v>1</v>
      </c>
      <c r="F39">
        <v>1</v>
      </c>
      <c r="G39">
        <v>15514512</v>
      </c>
      <c r="H39">
        <v>3</v>
      </c>
      <c r="I39" t="s">
        <v>310</v>
      </c>
      <c r="J39" t="s">
        <v>311</v>
      </c>
      <c r="K39" t="s">
        <v>312</v>
      </c>
      <c r="L39">
        <v>1346</v>
      </c>
      <c r="N39">
        <v>1009</v>
      </c>
      <c r="O39" t="s">
        <v>234</v>
      </c>
      <c r="P39" t="s">
        <v>234</v>
      </c>
      <c r="Q39">
        <v>1</v>
      </c>
      <c r="W39">
        <v>0</v>
      </c>
      <c r="X39">
        <v>1035813304</v>
      </c>
      <c r="Y39">
        <f>(AT39*28)</f>
        <v>0.84</v>
      </c>
      <c r="AA39">
        <v>46.9</v>
      </c>
      <c r="AB39">
        <v>0</v>
      </c>
      <c r="AC39">
        <v>0</v>
      </c>
      <c r="AD39">
        <v>0</v>
      </c>
      <c r="AE39">
        <v>46.9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0.03</v>
      </c>
      <c r="AU39" t="s">
        <v>181</v>
      </c>
      <c r="AV39">
        <v>0</v>
      </c>
      <c r="AW39">
        <v>2</v>
      </c>
      <c r="AX39">
        <v>80890157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ROUND(Y39*Source!I95,9)</f>
        <v>1.329216</v>
      </c>
      <c r="CY39">
        <f>AA39</f>
        <v>46.9</v>
      </c>
      <c r="CZ39">
        <f>AE39</f>
        <v>46.9</v>
      </c>
      <c r="DA39">
        <f>AI39</f>
        <v>1</v>
      </c>
      <c r="DB39">
        <f>ROUND((ROUND(AT39*CZ39,2)*28),6)</f>
        <v>39.479999999999997</v>
      </c>
      <c r="DC39">
        <f>ROUND((ROUND(AT39*AG39,2)*28),6)</f>
        <v>0</v>
      </c>
      <c r="DD39" t="s">
        <v>3</v>
      </c>
      <c r="DE39" t="s">
        <v>3</v>
      </c>
      <c r="DF39">
        <f t="shared" si="7"/>
        <v>62.34</v>
      </c>
      <c r="DG39">
        <f t="shared" si="8"/>
        <v>0</v>
      </c>
      <c r="DH39">
        <f t="shared" si="9"/>
        <v>0</v>
      </c>
      <c r="DI39">
        <f t="shared" si="10"/>
        <v>0</v>
      </c>
      <c r="DJ39">
        <f>DF39</f>
        <v>62.34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5">
      <c r="A40">
        <f>ROW(Source!A95)</f>
        <v>95</v>
      </c>
      <c r="B40">
        <v>80889732</v>
      </c>
      <c r="C40">
        <v>80890000</v>
      </c>
      <c r="D40">
        <v>80215470</v>
      </c>
      <c r="E40">
        <v>1</v>
      </c>
      <c r="F40">
        <v>1</v>
      </c>
      <c r="G40">
        <v>15514512</v>
      </c>
      <c r="H40">
        <v>3</v>
      </c>
      <c r="I40" t="s">
        <v>37</v>
      </c>
      <c r="J40" t="s">
        <v>40</v>
      </c>
      <c r="K40" t="s">
        <v>38</v>
      </c>
      <c r="L40">
        <v>1339</v>
      </c>
      <c r="N40">
        <v>1007</v>
      </c>
      <c r="O40" t="s">
        <v>39</v>
      </c>
      <c r="P40" t="s">
        <v>39</v>
      </c>
      <c r="Q40">
        <v>1</v>
      </c>
      <c r="W40">
        <v>1</v>
      </c>
      <c r="X40">
        <v>2112060389</v>
      </c>
      <c r="Y40">
        <f>(AT40*28)</f>
        <v>-0.28000000000000003</v>
      </c>
      <c r="AA40">
        <v>54.81</v>
      </c>
      <c r="AB40">
        <v>0</v>
      </c>
      <c r="AC40">
        <v>0</v>
      </c>
      <c r="AD40">
        <v>0</v>
      </c>
      <c r="AE40">
        <v>54.81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-0.01</v>
      </c>
      <c r="AU40" t="s">
        <v>181</v>
      </c>
      <c r="AV40">
        <v>0</v>
      </c>
      <c r="AW40">
        <v>2</v>
      </c>
      <c r="AX40">
        <v>80890158</v>
      </c>
      <c r="AY40">
        <v>1</v>
      </c>
      <c r="AZ40">
        <v>6144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ROUND(Y40*Source!I95,9)</f>
        <v>-0.44307200000000002</v>
      </c>
      <c r="CY40">
        <f>AA40</f>
        <v>54.81</v>
      </c>
      <c r="CZ40">
        <f>AE40</f>
        <v>54.81</v>
      </c>
      <c r="DA40">
        <f>AI40</f>
        <v>1</v>
      </c>
      <c r="DB40">
        <f>ROUND((ROUND(AT40*CZ40,2)*28),6)</f>
        <v>-15.4</v>
      </c>
      <c r="DC40">
        <f>ROUND((ROUND(AT40*AG40,2)*28),6)</f>
        <v>0</v>
      </c>
      <c r="DD40" t="s">
        <v>3</v>
      </c>
      <c r="DE40" t="s">
        <v>3</v>
      </c>
      <c r="DF40">
        <f t="shared" si="7"/>
        <v>-24.28</v>
      </c>
      <c r="DG40">
        <f t="shared" si="8"/>
        <v>0</v>
      </c>
      <c r="DH40">
        <f t="shared" si="9"/>
        <v>0</v>
      </c>
      <c r="DI40">
        <f t="shared" si="10"/>
        <v>0</v>
      </c>
      <c r="DJ40">
        <f>DF40</f>
        <v>-24.28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5">
      <c r="A41">
        <f>ROW(Source!A97)</f>
        <v>97</v>
      </c>
      <c r="B41">
        <v>80889732</v>
      </c>
      <c r="C41">
        <v>80890001</v>
      </c>
      <c r="D41">
        <v>80199986</v>
      </c>
      <c r="E41">
        <v>15514512</v>
      </c>
      <c r="F41">
        <v>1</v>
      </c>
      <c r="G41">
        <v>15514512</v>
      </c>
      <c r="H41">
        <v>1</v>
      </c>
      <c r="I41" t="s">
        <v>285</v>
      </c>
      <c r="J41" t="s">
        <v>3</v>
      </c>
      <c r="K41" t="s">
        <v>286</v>
      </c>
      <c r="L41">
        <v>1191</v>
      </c>
      <c r="N41">
        <v>1013</v>
      </c>
      <c r="O41" t="s">
        <v>287</v>
      </c>
      <c r="P41" t="s">
        <v>287</v>
      </c>
      <c r="Q41">
        <v>1</v>
      </c>
      <c r="W41">
        <v>0</v>
      </c>
      <c r="X41">
        <v>476480486</v>
      </c>
      <c r="Y41">
        <f>(AT41*171)</f>
        <v>984.95999999999992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5.76</v>
      </c>
      <c r="AU41" t="s">
        <v>161</v>
      </c>
      <c r="AV41">
        <v>1</v>
      </c>
      <c r="AW41">
        <v>2</v>
      </c>
      <c r="AX41">
        <v>80890160</v>
      </c>
      <c r="AY41">
        <v>1</v>
      </c>
      <c r="AZ41">
        <v>2048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U41">
        <f>ROUND(AT41*Source!I97*AH41*AL41,2)</f>
        <v>0</v>
      </c>
      <c r="CV41">
        <f>ROUND(Y41*Source!I97,9)</f>
        <v>1558.600704</v>
      </c>
      <c r="CW41">
        <v>0</v>
      </c>
      <c r="CX41">
        <f>ROUND(Y41*Source!I97,9)</f>
        <v>1558.600704</v>
      </c>
      <c r="CY41">
        <f>AD41</f>
        <v>0</v>
      </c>
      <c r="CZ41">
        <f>AH41</f>
        <v>0</v>
      </c>
      <c r="DA41">
        <f>AL41</f>
        <v>1</v>
      </c>
      <c r="DB41">
        <f>ROUND((ROUND(AT41*CZ41,2)*171),6)</f>
        <v>0</v>
      </c>
      <c r="DC41">
        <f>ROUND((ROUND(AT41*AG41,2)*171),6)</f>
        <v>0</v>
      </c>
      <c r="DD41" t="s">
        <v>3</v>
      </c>
      <c r="DE41" t="s">
        <v>3</v>
      </c>
      <c r="DF41">
        <f t="shared" si="7"/>
        <v>0</v>
      </c>
      <c r="DG41">
        <f t="shared" si="8"/>
        <v>0</v>
      </c>
      <c r="DH41">
        <f t="shared" si="9"/>
        <v>0</v>
      </c>
      <c r="DI41">
        <f t="shared" si="10"/>
        <v>0</v>
      </c>
      <c r="DJ41">
        <f>DI41</f>
        <v>0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5">
      <c r="A42">
        <f>ROW(Source!A97)</f>
        <v>97</v>
      </c>
      <c r="B42">
        <v>80889732</v>
      </c>
      <c r="C42">
        <v>80890001</v>
      </c>
      <c r="D42">
        <v>80215377</v>
      </c>
      <c r="E42">
        <v>1</v>
      </c>
      <c r="F42">
        <v>1</v>
      </c>
      <c r="G42">
        <v>15514512</v>
      </c>
      <c r="H42">
        <v>3</v>
      </c>
      <c r="I42" t="s">
        <v>310</v>
      </c>
      <c r="J42" t="s">
        <v>311</v>
      </c>
      <c r="K42" t="s">
        <v>312</v>
      </c>
      <c r="L42">
        <v>1346</v>
      </c>
      <c r="N42">
        <v>1009</v>
      </c>
      <c r="O42" t="s">
        <v>234</v>
      </c>
      <c r="P42" t="s">
        <v>234</v>
      </c>
      <c r="Q42">
        <v>1</v>
      </c>
      <c r="W42">
        <v>0</v>
      </c>
      <c r="X42">
        <v>1035813304</v>
      </c>
      <c r="Y42">
        <f>AT42</f>
        <v>0.06</v>
      </c>
      <c r="AA42">
        <v>46.9</v>
      </c>
      <c r="AB42">
        <v>0</v>
      </c>
      <c r="AC42">
        <v>0</v>
      </c>
      <c r="AD42">
        <v>0</v>
      </c>
      <c r="AE42">
        <v>46.9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0.06</v>
      </c>
      <c r="AU42" t="s">
        <v>3</v>
      </c>
      <c r="AV42">
        <v>0</v>
      </c>
      <c r="AW42">
        <v>2</v>
      </c>
      <c r="AX42">
        <v>80890161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ROUND(Y42*Source!I97,9)</f>
        <v>9.4944000000000001E-2</v>
      </c>
      <c r="CY42">
        <f>AA42</f>
        <v>46.9</v>
      </c>
      <c r="CZ42">
        <f>AE42</f>
        <v>46.9</v>
      </c>
      <c r="DA42">
        <f>AI42</f>
        <v>1</v>
      </c>
      <c r="DB42">
        <f>ROUND(ROUND(AT42*CZ42,2),6)</f>
        <v>2.81</v>
      </c>
      <c r="DC42">
        <f>ROUND(ROUND(AT42*AG42,2),6)</f>
        <v>0</v>
      </c>
      <c r="DD42" t="s">
        <v>3</v>
      </c>
      <c r="DE42" t="s">
        <v>3</v>
      </c>
      <c r="DF42">
        <f t="shared" si="7"/>
        <v>4.45</v>
      </c>
      <c r="DG42">
        <f t="shared" si="8"/>
        <v>0</v>
      </c>
      <c r="DH42">
        <f t="shared" si="9"/>
        <v>0</v>
      </c>
      <c r="DI42">
        <f t="shared" si="10"/>
        <v>0</v>
      </c>
      <c r="DJ42">
        <f>DF42</f>
        <v>4.45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5">
      <c r="A43">
        <f>ROW(Source!A97)</f>
        <v>97</v>
      </c>
      <c r="B43">
        <v>80889732</v>
      </c>
      <c r="C43">
        <v>80890001</v>
      </c>
      <c r="D43">
        <v>80215470</v>
      </c>
      <c r="E43">
        <v>1</v>
      </c>
      <c r="F43">
        <v>1</v>
      </c>
      <c r="G43">
        <v>15514512</v>
      </c>
      <c r="H43">
        <v>3</v>
      </c>
      <c r="I43" t="s">
        <v>37</v>
      </c>
      <c r="J43" t="s">
        <v>40</v>
      </c>
      <c r="K43" t="s">
        <v>38</v>
      </c>
      <c r="L43">
        <v>1339</v>
      </c>
      <c r="N43">
        <v>1007</v>
      </c>
      <c r="O43" t="s">
        <v>39</v>
      </c>
      <c r="P43" t="s">
        <v>39</v>
      </c>
      <c r="Q43">
        <v>1</v>
      </c>
      <c r="W43">
        <v>1</v>
      </c>
      <c r="X43">
        <v>2112060389</v>
      </c>
      <c r="Y43">
        <f>AT43</f>
        <v>-0.02</v>
      </c>
      <c r="AA43">
        <v>54.81</v>
      </c>
      <c r="AB43">
        <v>0</v>
      </c>
      <c r="AC43">
        <v>0</v>
      </c>
      <c r="AD43">
        <v>0</v>
      </c>
      <c r="AE43">
        <v>54.81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-0.02</v>
      </c>
      <c r="AU43" t="s">
        <v>3</v>
      </c>
      <c r="AV43">
        <v>0</v>
      </c>
      <c r="AW43">
        <v>2</v>
      </c>
      <c r="AX43">
        <v>80890162</v>
      </c>
      <c r="AY43">
        <v>1</v>
      </c>
      <c r="AZ43">
        <v>6144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ROUND(Y43*Source!I97,9)</f>
        <v>-3.1648000000000003E-2</v>
      </c>
      <c r="CY43">
        <f>AA43</f>
        <v>54.81</v>
      </c>
      <c r="CZ43">
        <f>AE43</f>
        <v>54.81</v>
      </c>
      <c r="DA43">
        <f>AI43</f>
        <v>1</v>
      </c>
      <c r="DB43">
        <f>ROUND(ROUND(AT43*CZ43,2),6)</f>
        <v>-1.1000000000000001</v>
      </c>
      <c r="DC43">
        <f>ROUND(ROUND(AT43*AG43,2),6)</f>
        <v>0</v>
      </c>
      <c r="DD43" t="s">
        <v>3</v>
      </c>
      <c r="DE43" t="s">
        <v>3</v>
      </c>
      <c r="DF43">
        <f t="shared" si="7"/>
        <v>-1.73</v>
      </c>
      <c r="DG43">
        <f t="shared" si="8"/>
        <v>0</v>
      </c>
      <c r="DH43">
        <f t="shared" si="9"/>
        <v>0</v>
      </c>
      <c r="DI43">
        <f t="shared" si="10"/>
        <v>0</v>
      </c>
      <c r="DJ43">
        <f>DF43</f>
        <v>-1.73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5">
      <c r="A44">
        <f>ROW(Source!A99)</f>
        <v>99</v>
      </c>
      <c r="B44">
        <v>80889732</v>
      </c>
      <c r="C44">
        <v>80890002</v>
      </c>
      <c r="D44">
        <v>80199986</v>
      </c>
      <c r="E44">
        <v>15514512</v>
      </c>
      <c r="F44">
        <v>1</v>
      </c>
      <c r="G44">
        <v>15514512</v>
      </c>
      <c r="H44">
        <v>1</v>
      </c>
      <c r="I44" t="s">
        <v>285</v>
      </c>
      <c r="J44" t="s">
        <v>3</v>
      </c>
      <c r="K44" t="s">
        <v>286</v>
      </c>
      <c r="L44">
        <v>1191</v>
      </c>
      <c r="N44">
        <v>1013</v>
      </c>
      <c r="O44" t="s">
        <v>287</v>
      </c>
      <c r="P44" t="s">
        <v>287</v>
      </c>
      <c r="Q44">
        <v>1</v>
      </c>
      <c r="W44">
        <v>0</v>
      </c>
      <c r="X44">
        <v>476480486</v>
      </c>
      <c r="Y44">
        <f>(AT44*186)</f>
        <v>448.26000000000005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2.41</v>
      </c>
      <c r="AU44" t="s">
        <v>187</v>
      </c>
      <c r="AV44">
        <v>1</v>
      </c>
      <c r="AW44">
        <v>2</v>
      </c>
      <c r="AX44">
        <v>80890172</v>
      </c>
      <c r="AY44">
        <v>1</v>
      </c>
      <c r="AZ44">
        <v>2048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U44">
        <f>ROUND(AT44*Source!I99*AH44*AL44,2)</f>
        <v>0</v>
      </c>
      <c r="CV44">
        <f>ROUND(Y44*Source!I99,9)</f>
        <v>569.29020000000003</v>
      </c>
      <c r="CW44">
        <v>0</v>
      </c>
      <c r="CX44">
        <f>ROUND(Y44*Source!I99,9)</f>
        <v>569.29020000000003</v>
      </c>
      <c r="CY44">
        <f>AD44</f>
        <v>0</v>
      </c>
      <c r="CZ44">
        <f>AH44</f>
        <v>0</v>
      </c>
      <c r="DA44">
        <f>AL44</f>
        <v>1</v>
      </c>
      <c r="DB44">
        <f>ROUND((ROUND(AT44*CZ44,2)*186),6)</f>
        <v>0</v>
      </c>
      <c r="DC44">
        <f>ROUND((ROUND(AT44*AG44,2)*186),6)</f>
        <v>0</v>
      </c>
      <c r="DD44" t="s">
        <v>3</v>
      </c>
      <c r="DE44" t="s">
        <v>3</v>
      </c>
      <c r="DF44">
        <f t="shared" si="7"/>
        <v>0</v>
      </c>
      <c r="DG44">
        <f t="shared" si="8"/>
        <v>0</v>
      </c>
      <c r="DH44">
        <f t="shared" si="9"/>
        <v>0</v>
      </c>
      <c r="DI44">
        <f t="shared" si="10"/>
        <v>0</v>
      </c>
      <c r="DJ44">
        <f>DI44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5">
      <c r="A45">
        <f>ROW(Source!A99)</f>
        <v>99</v>
      </c>
      <c r="B45">
        <v>80889732</v>
      </c>
      <c r="C45">
        <v>80890002</v>
      </c>
      <c r="D45">
        <v>80215860</v>
      </c>
      <c r="E45">
        <v>1</v>
      </c>
      <c r="F45">
        <v>1</v>
      </c>
      <c r="G45">
        <v>15514512</v>
      </c>
      <c r="H45">
        <v>3</v>
      </c>
      <c r="I45" t="s">
        <v>300</v>
      </c>
      <c r="J45" t="s">
        <v>301</v>
      </c>
      <c r="K45" t="s">
        <v>302</v>
      </c>
      <c r="L45">
        <v>1354</v>
      </c>
      <c r="N45">
        <v>1010</v>
      </c>
      <c r="O45" t="s">
        <v>303</v>
      </c>
      <c r="P45" t="s">
        <v>303</v>
      </c>
      <c r="Q45">
        <v>1</v>
      </c>
      <c r="W45">
        <v>0</v>
      </c>
      <c r="X45">
        <v>-1952007382</v>
      </c>
      <c r="Y45">
        <f>(AT45*186)</f>
        <v>18600</v>
      </c>
      <c r="AA45">
        <v>2.75</v>
      </c>
      <c r="AB45">
        <v>0</v>
      </c>
      <c r="AC45">
        <v>0</v>
      </c>
      <c r="AD45">
        <v>0</v>
      </c>
      <c r="AE45">
        <v>2.75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100</v>
      </c>
      <c r="AU45" t="s">
        <v>187</v>
      </c>
      <c r="AV45">
        <v>0</v>
      </c>
      <c r="AW45">
        <v>2</v>
      </c>
      <c r="AX45">
        <v>80890173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ROUND(Y45*Source!I99,9)</f>
        <v>23622</v>
      </c>
      <c r="CY45">
        <f>AA45</f>
        <v>2.75</v>
      </c>
      <c r="CZ45">
        <f>AE45</f>
        <v>2.75</v>
      </c>
      <c r="DA45">
        <f>AI45</f>
        <v>1</v>
      </c>
      <c r="DB45">
        <f>ROUND((ROUND(AT45*CZ45,2)*186),6)</f>
        <v>51150</v>
      </c>
      <c r="DC45">
        <f>ROUND((ROUND(AT45*AG45,2)*186),6)</f>
        <v>0</v>
      </c>
      <c r="DD45" t="s">
        <v>3</v>
      </c>
      <c r="DE45" t="s">
        <v>3</v>
      </c>
      <c r="DF45">
        <f t="shared" si="7"/>
        <v>64960.5</v>
      </c>
      <c r="DG45">
        <f t="shared" si="8"/>
        <v>0</v>
      </c>
      <c r="DH45">
        <f t="shared" si="9"/>
        <v>0</v>
      </c>
      <c r="DI45">
        <f t="shared" si="10"/>
        <v>0</v>
      </c>
      <c r="DJ45">
        <f>DF45</f>
        <v>64960.5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5">
      <c r="A46">
        <f>ROW(Source!A100)</f>
        <v>100</v>
      </c>
      <c r="B46">
        <v>80889732</v>
      </c>
      <c r="C46">
        <v>80890003</v>
      </c>
      <c r="D46">
        <v>80199986</v>
      </c>
      <c r="E46">
        <v>15514512</v>
      </c>
      <c r="F46">
        <v>1</v>
      </c>
      <c r="G46">
        <v>15514512</v>
      </c>
      <c r="H46">
        <v>1</v>
      </c>
      <c r="I46" t="s">
        <v>285</v>
      </c>
      <c r="J46" t="s">
        <v>3</v>
      </c>
      <c r="K46" t="s">
        <v>286</v>
      </c>
      <c r="L46">
        <v>1191</v>
      </c>
      <c r="N46">
        <v>1013</v>
      </c>
      <c r="O46" t="s">
        <v>287</v>
      </c>
      <c r="P46" t="s">
        <v>287</v>
      </c>
      <c r="Q46">
        <v>1</v>
      </c>
      <c r="W46">
        <v>0</v>
      </c>
      <c r="X46">
        <v>476480486</v>
      </c>
      <c r="Y46">
        <f>(AT46*13)</f>
        <v>165.75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12.75</v>
      </c>
      <c r="AU46" t="s">
        <v>189</v>
      </c>
      <c r="AV46">
        <v>1</v>
      </c>
      <c r="AW46">
        <v>2</v>
      </c>
      <c r="AX46">
        <v>80890168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U46">
        <f>ROUND(AT46*Source!I100*AH46*AL46,2)</f>
        <v>0</v>
      </c>
      <c r="CV46">
        <f>ROUND(Y46*Source!I100,9)</f>
        <v>210.5025</v>
      </c>
      <c r="CW46">
        <v>0</v>
      </c>
      <c r="CX46">
        <f>ROUND(Y46*Source!I100,9)</f>
        <v>210.5025</v>
      </c>
      <c r="CY46">
        <f>AD46</f>
        <v>0</v>
      </c>
      <c r="CZ46">
        <f>AH46</f>
        <v>0</v>
      </c>
      <c r="DA46">
        <f>AL46</f>
        <v>1</v>
      </c>
      <c r="DB46">
        <f>ROUND((ROUND(AT46*CZ46,2)*13),6)</f>
        <v>0</v>
      </c>
      <c r="DC46">
        <f>ROUND((ROUND(AT46*AG46,2)*13),6)</f>
        <v>0</v>
      </c>
      <c r="DD46" t="s">
        <v>3</v>
      </c>
      <c r="DE46" t="s">
        <v>3</v>
      </c>
      <c r="DF46">
        <f t="shared" si="7"/>
        <v>0</v>
      </c>
      <c r="DG46">
        <f t="shared" si="8"/>
        <v>0</v>
      </c>
      <c r="DH46">
        <f t="shared" si="9"/>
        <v>0</v>
      </c>
      <c r="DI46">
        <f t="shared" si="10"/>
        <v>0</v>
      </c>
      <c r="DJ46">
        <f>DI46</f>
        <v>0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5">
      <c r="A47">
        <f>ROW(Source!A100)</f>
        <v>100</v>
      </c>
      <c r="B47">
        <v>80889732</v>
      </c>
      <c r="C47">
        <v>80890003</v>
      </c>
      <c r="D47">
        <v>80215393</v>
      </c>
      <c r="E47">
        <v>1</v>
      </c>
      <c r="F47">
        <v>1</v>
      </c>
      <c r="G47">
        <v>15514512</v>
      </c>
      <c r="H47">
        <v>3</v>
      </c>
      <c r="I47" t="s">
        <v>304</v>
      </c>
      <c r="J47" t="s">
        <v>305</v>
      </c>
      <c r="K47" t="s">
        <v>306</v>
      </c>
      <c r="L47">
        <v>1296</v>
      </c>
      <c r="N47">
        <v>1002</v>
      </c>
      <c r="O47" t="s">
        <v>263</v>
      </c>
      <c r="P47" t="s">
        <v>263</v>
      </c>
      <c r="Q47">
        <v>1</v>
      </c>
      <c r="W47">
        <v>0</v>
      </c>
      <c r="X47">
        <v>-2014656141</v>
      </c>
      <c r="Y47">
        <f>(AT47*13)</f>
        <v>97.5</v>
      </c>
      <c r="AA47">
        <v>710.73</v>
      </c>
      <c r="AB47">
        <v>0</v>
      </c>
      <c r="AC47">
        <v>0</v>
      </c>
      <c r="AD47">
        <v>0</v>
      </c>
      <c r="AE47">
        <v>710.73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7.5</v>
      </c>
      <c r="AU47" t="s">
        <v>189</v>
      </c>
      <c r="AV47">
        <v>0</v>
      </c>
      <c r="AW47">
        <v>2</v>
      </c>
      <c r="AX47">
        <v>80890169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ROUND(Y47*Source!I100,9)</f>
        <v>123.825</v>
      </c>
      <c r="CY47">
        <f>AA47</f>
        <v>710.73</v>
      </c>
      <c r="CZ47">
        <f>AE47</f>
        <v>710.73</v>
      </c>
      <c r="DA47">
        <f>AI47</f>
        <v>1</v>
      </c>
      <c r="DB47">
        <f>ROUND((ROUND(AT47*CZ47,2)*13),6)</f>
        <v>69296.240000000005</v>
      </c>
      <c r="DC47">
        <f>ROUND((ROUND(AT47*AG47,2)*13),6)</f>
        <v>0</v>
      </c>
      <c r="DD47" t="s">
        <v>3</v>
      </c>
      <c r="DE47" t="s">
        <v>3</v>
      </c>
      <c r="DF47">
        <f t="shared" si="7"/>
        <v>88006.14</v>
      </c>
      <c r="DG47">
        <f t="shared" si="8"/>
        <v>0</v>
      </c>
      <c r="DH47">
        <f t="shared" si="9"/>
        <v>0</v>
      </c>
      <c r="DI47">
        <f t="shared" si="10"/>
        <v>0</v>
      </c>
      <c r="DJ47">
        <f>DF47</f>
        <v>88006.14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5">
      <c r="A48">
        <f>ROW(Source!A100)</f>
        <v>100</v>
      </c>
      <c r="B48">
        <v>80889732</v>
      </c>
      <c r="C48">
        <v>80890003</v>
      </c>
      <c r="D48">
        <v>80215470</v>
      </c>
      <c r="E48">
        <v>1</v>
      </c>
      <c r="F48">
        <v>1</v>
      </c>
      <c r="G48">
        <v>15514512</v>
      </c>
      <c r="H48">
        <v>3</v>
      </c>
      <c r="I48" t="s">
        <v>37</v>
      </c>
      <c r="J48" t="s">
        <v>40</v>
      </c>
      <c r="K48" t="s">
        <v>38</v>
      </c>
      <c r="L48">
        <v>1339</v>
      </c>
      <c r="N48">
        <v>1007</v>
      </c>
      <c r="O48" t="s">
        <v>39</v>
      </c>
      <c r="P48" t="s">
        <v>39</v>
      </c>
      <c r="Q48">
        <v>1</v>
      </c>
      <c r="W48">
        <v>1</v>
      </c>
      <c r="X48">
        <v>2112060389</v>
      </c>
      <c r="Y48">
        <f>(AT48*13)</f>
        <v>-19.5</v>
      </c>
      <c r="AA48">
        <v>54.81</v>
      </c>
      <c r="AB48">
        <v>0</v>
      </c>
      <c r="AC48">
        <v>0</v>
      </c>
      <c r="AD48">
        <v>0</v>
      </c>
      <c r="AE48">
        <v>54.81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-1.5</v>
      </c>
      <c r="AU48" t="s">
        <v>189</v>
      </c>
      <c r="AV48">
        <v>0</v>
      </c>
      <c r="AW48">
        <v>2</v>
      </c>
      <c r="AX48">
        <v>80890170</v>
      </c>
      <c r="AY48">
        <v>1</v>
      </c>
      <c r="AZ48">
        <v>6144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ROUND(Y48*Source!I100,9)</f>
        <v>-24.765000000000001</v>
      </c>
      <c r="CY48">
        <f>AA48</f>
        <v>54.81</v>
      </c>
      <c r="CZ48">
        <f>AE48</f>
        <v>54.81</v>
      </c>
      <c r="DA48">
        <f>AI48</f>
        <v>1</v>
      </c>
      <c r="DB48">
        <f>ROUND((ROUND(AT48*CZ48,2)*13),6)</f>
        <v>-1068.8599999999999</v>
      </c>
      <c r="DC48">
        <f>ROUND((ROUND(AT48*AG48,2)*13),6)</f>
        <v>0</v>
      </c>
      <c r="DD48" t="s">
        <v>3</v>
      </c>
      <c r="DE48" t="s">
        <v>3</v>
      </c>
      <c r="DF48">
        <f t="shared" si="7"/>
        <v>-1357.37</v>
      </c>
      <c r="DG48">
        <f t="shared" si="8"/>
        <v>0</v>
      </c>
      <c r="DH48">
        <f t="shared" si="9"/>
        <v>0</v>
      </c>
      <c r="DI48">
        <f t="shared" si="10"/>
        <v>0</v>
      </c>
      <c r="DJ48">
        <f>DF48</f>
        <v>-1357.37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5">
      <c r="A49">
        <f>ROW(Source!A100)</f>
        <v>100</v>
      </c>
      <c r="B49">
        <v>80889732</v>
      </c>
      <c r="C49">
        <v>80890003</v>
      </c>
      <c r="D49">
        <v>80215860</v>
      </c>
      <c r="E49">
        <v>1</v>
      </c>
      <c r="F49">
        <v>1</v>
      </c>
      <c r="G49">
        <v>15514512</v>
      </c>
      <c r="H49">
        <v>3</v>
      </c>
      <c r="I49" t="s">
        <v>300</v>
      </c>
      <c r="J49" t="s">
        <v>301</v>
      </c>
      <c r="K49" t="s">
        <v>302</v>
      </c>
      <c r="L49">
        <v>1354</v>
      </c>
      <c r="N49">
        <v>1010</v>
      </c>
      <c r="O49" t="s">
        <v>303</v>
      </c>
      <c r="P49" t="s">
        <v>303</v>
      </c>
      <c r="Q49">
        <v>1</v>
      </c>
      <c r="W49">
        <v>0</v>
      </c>
      <c r="X49">
        <v>-1952007382</v>
      </c>
      <c r="Y49">
        <f>(AT49*13)</f>
        <v>1300</v>
      </c>
      <c r="AA49">
        <v>2.75</v>
      </c>
      <c r="AB49">
        <v>0</v>
      </c>
      <c r="AC49">
        <v>0</v>
      </c>
      <c r="AD49">
        <v>0</v>
      </c>
      <c r="AE49">
        <v>2.75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100</v>
      </c>
      <c r="AU49" t="s">
        <v>189</v>
      </c>
      <c r="AV49">
        <v>0</v>
      </c>
      <c r="AW49">
        <v>2</v>
      </c>
      <c r="AX49">
        <v>80890171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ROUND(Y49*Source!I100,9)</f>
        <v>1651</v>
      </c>
      <c r="CY49">
        <f>AA49</f>
        <v>2.75</v>
      </c>
      <c r="CZ49">
        <f>AE49</f>
        <v>2.75</v>
      </c>
      <c r="DA49">
        <f>AI49</f>
        <v>1</v>
      </c>
      <c r="DB49">
        <f>ROUND((ROUND(AT49*CZ49,2)*13),6)</f>
        <v>3575</v>
      </c>
      <c r="DC49">
        <f>ROUND((ROUND(AT49*AG49,2)*13),6)</f>
        <v>0</v>
      </c>
      <c r="DD49" t="s">
        <v>3</v>
      </c>
      <c r="DE49" t="s">
        <v>3</v>
      </c>
      <c r="DF49">
        <f t="shared" si="7"/>
        <v>4540.25</v>
      </c>
      <c r="DG49">
        <f t="shared" si="8"/>
        <v>0</v>
      </c>
      <c r="DH49">
        <f t="shared" si="9"/>
        <v>0</v>
      </c>
      <c r="DI49">
        <f t="shared" si="10"/>
        <v>0</v>
      </c>
      <c r="DJ49">
        <f>DF49</f>
        <v>4540.25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5">
      <c r="A50">
        <f>ROW(Source!A102)</f>
        <v>102</v>
      </c>
      <c r="B50">
        <v>80889732</v>
      </c>
      <c r="C50">
        <v>80890004</v>
      </c>
      <c r="D50">
        <v>80199986</v>
      </c>
      <c r="E50">
        <v>15514512</v>
      </c>
      <c r="F50">
        <v>1</v>
      </c>
      <c r="G50">
        <v>15514512</v>
      </c>
      <c r="H50">
        <v>1</v>
      </c>
      <c r="I50" t="s">
        <v>285</v>
      </c>
      <c r="J50" t="s">
        <v>3</v>
      </c>
      <c r="K50" t="s">
        <v>286</v>
      </c>
      <c r="L50">
        <v>1191</v>
      </c>
      <c r="N50">
        <v>1013</v>
      </c>
      <c r="O50" t="s">
        <v>287</v>
      </c>
      <c r="P50" t="s">
        <v>287</v>
      </c>
      <c r="Q50">
        <v>1</v>
      </c>
      <c r="W50">
        <v>0</v>
      </c>
      <c r="X50">
        <v>476480486</v>
      </c>
      <c r="Y50">
        <f>(AT50*199)</f>
        <v>59.699999999999996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0.3</v>
      </c>
      <c r="AU50" t="s">
        <v>196</v>
      </c>
      <c r="AV50">
        <v>1</v>
      </c>
      <c r="AW50">
        <v>2</v>
      </c>
      <c r="AX50">
        <v>80890175</v>
      </c>
      <c r="AY50">
        <v>1</v>
      </c>
      <c r="AZ50">
        <v>2048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U50">
        <f>ROUND(AT50*Source!I102*AH50*AL50,2)</f>
        <v>0</v>
      </c>
      <c r="CV50">
        <f>ROUND(Y50*Source!I102,9)</f>
        <v>279.39600000000002</v>
      </c>
      <c r="CW50">
        <v>0</v>
      </c>
      <c r="CX50">
        <f>ROUND(Y50*Source!I102,9)</f>
        <v>279.39600000000002</v>
      </c>
      <c r="CY50">
        <f>AD50</f>
        <v>0</v>
      </c>
      <c r="CZ50">
        <f>AH50</f>
        <v>0</v>
      </c>
      <c r="DA50">
        <f>AL50</f>
        <v>1</v>
      </c>
      <c r="DB50">
        <f>ROUND((ROUND(AT50*CZ50,2)*199),6)</f>
        <v>0</v>
      </c>
      <c r="DC50">
        <f>ROUND((ROUND(AT50*AG50,2)*199),6)</f>
        <v>0</v>
      </c>
      <c r="DD50" t="s">
        <v>3</v>
      </c>
      <c r="DE50" t="s">
        <v>3</v>
      </c>
      <c r="DF50">
        <f t="shared" si="7"/>
        <v>0</v>
      </c>
      <c r="DG50">
        <f t="shared" si="8"/>
        <v>0</v>
      </c>
      <c r="DH50">
        <f t="shared" si="9"/>
        <v>0</v>
      </c>
      <c r="DI50">
        <f t="shared" si="10"/>
        <v>0</v>
      </c>
      <c r="DJ50">
        <f>DI50</f>
        <v>0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5">
      <c r="A51">
        <f>ROW(Source!A103)</f>
        <v>103</v>
      </c>
      <c r="B51">
        <v>80889732</v>
      </c>
      <c r="C51">
        <v>80890005</v>
      </c>
      <c r="D51">
        <v>80199986</v>
      </c>
      <c r="E51">
        <v>15514512</v>
      </c>
      <c r="F51">
        <v>1</v>
      </c>
      <c r="G51">
        <v>15514512</v>
      </c>
      <c r="H51">
        <v>1</v>
      </c>
      <c r="I51" t="s">
        <v>285</v>
      </c>
      <c r="J51" t="s">
        <v>3</v>
      </c>
      <c r="K51" t="s">
        <v>286</v>
      </c>
      <c r="L51">
        <v>1191</v>
      </c>
      <c r="N51">
        <v>1013</v>
      </c>
      <c r="O51" t="s">
        <v>287</v>
      </c>
      <c r="P51" t="s">
        <v>287</v>
      </c>
      <c r="Q51">
        <v>1</v>
      </c>
      <c r="W51">
        <v>0</v>
      </c>
      <c r="X51">
        <v>476480486</v>
      </c>
      <c r="Y51">
        <f>(AT51*5)</f>
        <v>6.3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1.26</v>
      </c>
      <c r="AU51" t="s">
        <v>95</v>
      </c>
      <c r="AV51">
        <v>1</v>
      </c>
      <c r="AW51">
        <v>2</v>
      </c>
      <c r="AX51">
        <v>80890176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U51">
        <f>ROUND(AT51*Source!I103*AH51*AL51,2)</f>
        <v>0</v>
      </c>
      <c r="CV51">
        <f>ROUND(Y51*Source!I103,9)</f>
        <v>88.748099999999994</v>
      </c>
      <c r="CW51">
        <v>0</v>
      </c>
      <c r="CX51">
        <f>ROUND(Y51*Source!I103,9)</f>
        <v>88.748099999999994</v>
      </c>
      <c r="CY51">
        <f>AD51</f>
        <v>0</v>
      </c>
      <c r="CZ51">
        <f>AH51</f>
        <v>0</v>
      </c>
      <c r="DA51">
        <f>AL51</f>
        <v>1</v>
      </c>
      <c r="DB51">
        <f>ROUND((ROUND(AT51*CZ51,2)*5),6)</f>
        <v>0</v>
      </c>
      <c r="DC51">
        <f>ROUND((ROUND(AT51*AG51,2)*5),6)</f>
        <v>0</v>
      </c>
      <c r="DD51" t="s">
        <v>3</v>
      </c>
      <c r="DE51" t="s">
        <v>3</v>
      </c>
      <c r="DF51">
        <f t="shared" si="7"/>
        <v>0</v>
      </c>
      <c r="DG51">
        <f t="shared" si="8"/>
        <v>0</v>
      </c>
      <c r="DH51">
        <f t="shared" si="9"/>
        <v>0</v>
      </c>
      <c r="DI51">
        <f t="shared" si="10"/>
        <v>0</v>
      </c>
      <c r="DJ51">
        <f>DI51</f>
        <v>0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5">
      <c r="A52">
        <f>ROW(Source!A103)</f>
        <v>103</v>
      </c>
      <c r="B52">
        <v>80889732</v>
      </c>
      <c r="C52">
        <v>80890005</v>
      </c>
      <c r="D52">
        <v>80212965</v>
      </c>
      <c r="E52">
        <v>1</v>
      </c>
      <c r="F52">
        <v>1</v>
      </c>
      <c r="G52">
        <v>15514512</v>
      </c>
      <c r="H52">
        <v>2</v>
      </c>
      <c r="I52" t="s">
        <v>313</v>
      </c>
      <c r="J52" t="s">
        <v>314</v>
      </c>
      <c r="K52" t="s">
        <v>315</v>
      </c>
      <c r="L52">
        <v>1368</v>
      </c>
      <c r="N52">
        <v>1011</v>
      </c>
      <c r="O52" t="s">
        <v>284</v>
      </c>
      <c r="P52" t="s">
        <v>284</v>
      </c>
      <c r="Q52">
        <v>1</v>
      </c>
      <c r="W52">
        <v>0</v>
      </c>
      <c r="X52">
        <v>1866108989</v>
      </c>
      <c r="Y52">
        <f>(AT52*5)</f>
        <v>4.5</v>
      </c>
      <c r="AA52">
        <v>0</v>
      </c>
      <c r="AB52">
        <v>1165.03</v>
      </c>
      <c r="AC52">
        <v>351.43</v>
      </c>
      <c r="AD52">
        <v>0</v>
      </c>
      <c r="AE52">
        <v>0</v>
      </c>
      <c r="AF52">
        <v>1165.03</v>
      </c>
      <c r="AG52">
        <v>351.43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0.9</v>
      </c>
      <c r="AU52" t="s">
        <v>95</v>
      </c>
      <c r="AV52">
        <v>0</v>
      </c>
      <c r="AW52">
        <v>2</v>
      </c>
      <c r="AX52">
        <v>80890177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f>ROUND(Y52*Source!I103*DO52,9)</f>
        <v>0</v>
      </c>
      <c r="CX52">
        <f>ROUND(Y52*Source!I103,9)</f>
        <v>63.391500000000001</v>
      </c>
      <c r="CY52">
        <f>AB52</f>
        <v>1165.03</v>
      </c>
      <c r="CZ52">
        <f>AF52</f>
        <v>1165.03</v>
      </c>
      <c r="DA52">
        <f>AJ52</f>
        <v>1</v>
      </c>
      <c r="DB52">
        <f>ROUND((ROUND(AT52*CZ52,2)*5),6)</f>
        <v>5242.6499999999996</v>
      </c>
      <c r="DC52">
        <f>ROUND((ROUND(AT52*AG52,2)*5),6)</f>
        <v>1581.45</v>
      </c>
      <c r="DD52" t="s">
        <v>3</v>
      </c>
      <c r="DE52" t="s">
        <v>3</v>
      </c>
      <c r="DF52">
        <f t="shared" si="7"/>
        <v>0</v>
      </c>
      <c r="DG52">
        <f t="shared" si="8"/>
        <v>73853</v>
      </c>
      <c r="DH52">
        <f t="shared" si="9"/>
        <v>22277.67</v>
      </c>
      <c r="DI52">
        <f t="shared" si="10"/>
        <v>0</v>
      </c>
      <c r="DJ52">
        <f>DG52</f>
        <v>73853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5">
      <c r="A53">
        <f>ROW(Source!A103)</f>
        <v>103</v>
      </c>
      <c r="B53">
        <v>80889732</v>
      </c>
      <c r="C53">
        <v>80890005</v>
      </c>
      <c r="D53">
        <v>80213223</v>
      </c>
      <c r="E53">
        <v>1</v>
      </c>
      <c r="F53">
        <v>1</v>
      </c>
      <c r="G53">
        <v>15514512</v>
      </c>
      <c r="H53">
        <v>2</v>
      </c>
      <c r="I53" t="s">
        <v>316</v>
      </c>
      <c r="J53" t="s">
        <v>317</v>
      </c>
      <c r="K53" t="s">
        <v>318</v>
      </c>
      <c r="L53">
        <v>1368</v>
      </c>
      <c r="N53">
        <v>1011</v>
      </c>
      <c r="O53" t="s">
        <v>284</v>
      </c>
      <c r="P53" t="s">
        <v>284</v>
      </c>
      <c r="Q53">
        <v>1</v>
      </c>
      <c r="W53">
        <v>0</v>
      </c>
      <c r="X53">
        <v>364728059</v>
      </c>
      <c r="Y53">
        <f>(AT53*5)</f>
        <v>4.95</v>
      </c>
      <c r="AA53">
        <v>0</v>
      </c>
      <c r="AB53">
        <v>1877.34</v>
      </c>
      <c r="AC53">
        <v>967.36</v>
      </c>
      <c r="AD53">
        <v>0</v>
      </c>
      <c r="AE53">
        <v>0</v>
      </c>
      <c r="AF53">
        <v>1877.34</v>
      </c>
      <c r="AG53">
        <v>967.36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0.99</v>
      </c>
      <c r="AU53" t="s">
        <v>95</v>
      </c>
      <c r="AV53">
        <v>0</v>
      </c>
      <c r="AW53">
        <v>2</v>
      </c>
      <c r="AX53">
        <v>80890178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f>ROUND(Y53*Source!I103*DO53,9)</f>
        <v>0</v>
      </c>
      <c r="CX53">
        <f>ROUND(Y53*Source!I103,9)</f>
        <v>69.730649999999997</v>
      </c>
      <c r="CY53">
        <f>AB53</f>
        <v>1877.34</v>
      </c>
      <c r="CZ53">
        <f>AF53</f>
        <v>1877.34</v>
      </c>
      <c r="DA53">
        <f>AJ53</f>
        <v>1</v>
      </c>
      <c r="DB53">
        <f>ROUND((ROUND(AT53*CZ53,2)*5),6)</f>
        <v>9292.85</v>
      </c>
      <c r="DC53">
        <f>ROUND((ROUND(AT53*AG53,2)*5),6)</f>
        <v>4788.45</v>
      </c>
      <c r="DD53" t="s">
        <v>3</v>
      </c>
      <c r="DE53" t="s">
        <v>3</v>
      </c>
      <c r="DF53">
        <f t="shared" si="7"/>
        <v>0</v>
      </c>
      <c r="DG53">
        <f t="shared" si="8"/>
        <v>130908.14</v>
      </c>
      <c r="DH53">
        <f t="shared" si="9"/>
        <v>67454.64</v>
      </c>
      <c r="DI53">
        <f t="shared" si="10"/>
        <v>0</v>
      </c>
      <c r="DJ53">
        <f>DG53</f>
        <v>130908.14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5">
      <c r="A54">
        <f>ROW(Source!A103)</f>
        <v>103</v>
      </c>
      <c r="B54">
        <v>80889732</v>
      </c>
      <c r="C54">
        <v>80890005</v>
      </c>
      <c r="D54">
        <v>80215470</v>
      </c>
      <c r="E54">
        <v>1</v>
      </c>
      <c r="F54">
        <v>1</v>
      </c>
      <c r="G54">
        <v>15514512</v>
      </c>
      <c r="H54">
        <v>3</v>
      </c>
      <c r="I54" t="s">
        <v>37</v>
      </c>
      <c r="J54" t="s">
        <v>40</v>
      </c>
      <c r="K54" t="s">
        <v>38</v>
      </c>
      <c r="L54">
        <v>1339</v>
      </c>
      <c r="N54">
        <v>1007</v>
      </c>
      <c r="O54" t="s">
        <v>39</v>
      </c>
      <c r="P54" t="s">
        <v>39</v>
      </c>
      <c r="Q54">
        <v>1</v>
      </c>
      <c r="W54">
        <v>0</v>
      </c>
      <c r="X54">
        <v>2112060389</v>
      </c>
      <c r="Y54">
        <f>(AT54*5)</f>
        <v>4</v>
      </c>
      <c r="AA54">
        <v>54.81</v>
      </c>
      <c r="AB54">
        <v>0</v>
      </c>
      <c r="AC54">
        <v>0</v>
      </c>
      <c r="AD54">
        <v>0</v>
      </c>
      <c r="AE54">
        <v>54.81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0.8</v>
      </c>
      <c r="AU54" t="s">
        <v>95</v>
      </c>
      <c r="AV54">
        <v>0</v>
      </c>
      <c r="AW54">
        <v>2</v>
      </c>
      <c r="AX54">
        <v>80890179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ROUND(Y54*Source!I103,9)</f>
        <v>56.347999999999999</v>
      </c>
      <c r="CY54">
        <f>AA54</f>
        <v>54.81</v>
      </c>
      <c r="CZ54">
        <f>AE54</f>
        <v>54.81</v>
      </c>
      <c r="DA54">
        <f>AI54</f>
        <v>1</v>
      </c>
      <c r="DB54">
        <f>ROUND((ROUND(AT54*CZ54,2)*5),6)</f>
        <v>219.25</v>
      </c>
      <c r="DC54">
        <f>ROUND((ROUND(AT54*AG54,2)*5),6)</f>
        <v>0</v>
      </c>
      <c r="DD54" t="s">
        <v>3</v>
      </c>
      <c r="DE54" t="s">
        <v>3</v>
      </c>
      <c r="DF54">
        <f t="shared" si="7"/>
        <v>3088.43</v>
      </c>
      <c r="DG54">
        <f t="shared" si="8"/>
        <v>0</v>
      </c>
      <c r="DH54">
        <f t="shared" si="9"/>
        <v>0</v>
      </c>
      <c r="DI54">
        <f t="shared" si="10"/>
        <v>0</v>
      </c>
      <c r="DJ54">
        <f>DF54</f>
        <v>3088.43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5">
      <c r="A55">
        <f>ROW(Source!A139)</f>
        <v>139</v>
      </c>
      <c r="B55">
        <v>80889732</v>
      </c>
      <c r="C55">
        <v>80890064</v>
      </c>
      <c r="D55">
        <v>80199986</v>
      </c>
      <c r="E55">
        <v>15514512</v>
      </c>
      <c r="F55">
        <v>1</v>
      </c>
      <c r="G55">
        <v>15514512</v>
      </c>
      <c r="H55">
        <v>1</v>
      </c>
      <c r="I55" t="s">
        <v>285</v>
      </c>
      <c r="J55" t="s">
        <v>3</v>
      </c>
      <c r="K55" t="s">
        <v>286</v>
      </c>
      <c r="L55">
        <v>1191</v>
      </c>
      <c r="N55">
        <v>1013</v>
      </c>
      <c r="O55" t="s">
        <v>287</v>
      </c>
      <c r="P55" t="s">
        <v>287</v>
      </c>
      <c r="Q55">
        <v>1</v>
      </c>
      <c r="W55">
        <v>0</v>
      </c>
      <c r="X55">
        <v>476480486</v>
      </c>
      <c r="Y55">
        <f t="shared" ref="Y55:Y60" si="11">AT55</f>
        <v>0.59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0.59</v>
      </c>
      <c r="AU55" t="s">
        <v>3</v>
      </c>
      <c r="AV55">
        <v>1</v>
      </c>
      <c r="AW55">
        <v>2</v>
      </c>
      <c r="AX55">
        <v>80890180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U55">
        <f>ROUND(AT55*Source!I139*AH55*AL55,2)</f>
        <v>0</v>
      </c>
      <c r="CV55">
        <f>ROUND(Y55*Source!I139,9)</f>
        <v>365.15690000000001</v>
      </c>
      <c r="CW55">
        <v>0</v>
      </c>
      <c r="CX55">
        <f>ROUND(Y55*Source!I139,9)</f>
        <v>365.15690000000001</v>
      </c>
      <c r="CY55">
        <f>AD55</f>
        <v>0</v>
      </c>
      <c r="CZ55">
        <f>AH55</f>
        <v>0</v>
      </c>
      <c r="DA55">
        <f>AL55</f>
        <v>1</v>
      </c>
      <c r="DB55">
        <f t="shared" ref="DB55:DB60" si="12">ROUND(ROUND(AT55*CZ55,2),6)</f>
        <v>0</v>
      </c>
      <c r="DC55">
        <f t="shared" ref="DC55:DC60" si="13">ROUND(ROUND(AT55*AG55,2),6)</f>
        <v>0</v>
      </c>
      <c r="DD55" t="s">
        <v>3</v>
      </c>
      <c r="DE55" t="s">
        <v>3</v>
      </c>
      <c r="DF55">
        <f t="shared" si="7"/>
        <v>0</v>
      </c>
      <c r="DG55">
        <f t="shared" si="8"/>
        <v>0</v>
      </c>
      <c r="DH55">
        <f t="shared" si="9"/>
        <v>0</v>
      </c>
      <c r="DI55">
        <f t="shared" si="10"/>
        <v>0</v>
      </c>
      <c r="DJ55">
        <f>DI55</f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5">
      <c r="A56">
        <f>ROW(Source!A139)</f>
        <v>139</v>
      </c>
      <c r="B56">
        <v>80889732</v>
      </c>
      <c r="C56">
        <v>80890064</v>
      </c>
      <c r="D56">
        <v>80213222</v>
      </c>
      <c r="E56">
        <v>1</v>
      </c>
      <c r="F56">
        <v>1</v>
      </c>
      <c r="G56">
        <v>15514512</v>
      </c>
      <c r="H56">
        <v>2</v>
      </c>
      <c r="I56" t="s">
        <v>319</v>
      </c>
      <c r="J56" t="s">
        <v>320</v>
      </c>
      <c r="K56" t="s">
        <v>321</v>
      </c>
      <c r="L56">
        <v>1368</v>
      </c>
      <c r="N56">
        <v>1011</v>
      </c>
      <c r="O56" t="s">
        <v>284</v>
      </c>
      <c r="P56" t="s">
        <v>284</v>
      </c>
      <c r="Q56">
        <v>1</v>
      </c>
      <c r="W56">
        <v>0</v>
      </c>
      <c r="X56">
        <v>-2077718103</v>
      </c>
      <c r="Y56">
        <f t="shared" si="11"/>
        <v>0.34</v>
      </c>
      <c r="AA56">
        <v>0</v>
      </c>
      <c r="AB56">
        <v>20.7</v>
      </c>
      <c r="AC56">
        <v>0.2</v>
      </c>
      <c r="AD56">
        <v>0</v>
      </c>
      <c r="AE56">
        <v>0</v>
      </c>
      <c r="AF56">
        <v>20.7</v>
      </c>
      <c r="AG56">
        <v>0.2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0.34</v>
      </c>
      <c r="AU56" t="s">
        <v>3</v>
      </c>
      <c r="AV56">
        <v>0</v>
      </c>
      <c r="AW56">
        <v>2</v>
      </c>
      <c r="AX56">
        <v>80890181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f>ROUND(Y56*Source!I139*DO56,9)</f>
        <v>0</v>
      </c>
      <c r="CX56">
        <f>ROUND(Y56*Source!I139,9)</f>
        <v>210.42939999999999</v>
      </c>
      <c r="CY56">
        <f>AB56</f>
        <v>20.7</v>
      </c>
      <c r="CZ56">
        <f>AF56</f>
        <v>20.7</v>
      </c>
      <c r="DA56">
        <f>AJ56</f>
        <v>1</v>
      </c>
      <c r="DB56">
        <f t="shared" si="12"/>
        <v>7.04</v>
      </c>
      <c r="DC56">
        <f t="shared" si="13"/>
        <v>7.0000000000000007E-2</v>
      </c>
      <c r="DD56" t="s">
        <v>3</v>
      </c>
      <c r="DE56" t="s">
        <v>3</v>
      </c>
      <c r="DF56">
        <f t="shared" si="7"/>
        <v>0</v>
      </c>
      <c r="DG56">
        <f t="shared" si="8"/>
        <v>4355.8900000000003</v>
      </c>
      <c r="DH56">
        <f t="shared" si="9"/>
        <v>42.09</v>
      </c>
      <c r="DI56">
        <f t="shared" si="10"/>
        <v>0</v>
      </c>
      <c r="DJ56">
        <f>DG56</f>
        <v>4355.8900000000003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5">
      <c r="A57">
        <f>ROW(Source!A140)</f>
        <v>140</v>
      </c>
      <c r="B57">
        <v>80889732</v>
      </c>
      <c r="C57">
        <v>80890065</v>
      </c>
      <c r="D57">
        <v>80199986</v>
      </c>
      <c r="E57">
        <v>15514512</v>
      </c>
      <c r="F57">
        <v>1</v>
      </c>
      <c r="G57">
        <v>15514512</v>
      </c>
      <c r="H57">
        <v>1</v>
      </c>
      <c r="I57" t="s">
        <v>285</v>
      </c>
      <c r="J57" t="s">
        <v>3</v>
      </c>
      <c r="K57" t="s">
        <v>286</v>
      </c>
      <c r="L57">
        <v>1191</v>
      </c>
      <c r="N57">
        <v>1013</v>
      </c>
      <c r="O57" t="s">
        <v>287</v>
      </c>
      <c r="P57" t="s">
        <v>287</v>
      </c>
      <c r="Q57">
        <v>1</v>
      </c>
      <c r="W57">
        <v>0</v>
      </c>
      <c r="X57">
        <v>476480486</v>
      </c>
      <c r="Y57">
        <f t="shared" si="11"/>
        <v>1.6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1.6</v>
      </c>
      <c r="AU57" t="s">
        <v>3</v>
      </c>
      <c r="AV57">
        <v>1</v>
      </c>
      <c r="AW57">
        <v>2</v>
      </c>
      <c r="AX57">
        <v>80890182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U57">
        <f>ROUND(AT57*Source!I140*AH57*AL57,2)</f>
        <v>0</v>
      </c>
      <c r="CV57">
        <f>ROUND(Y57*Source!I140,9)</f>
        <v>198.05119999999999</v>
      </c>
      <c r="CW57">
        <v>0</v>
      </c>
      <c r="CX57">
        <f>ROUND(Y57*Source!I140,9)</f>
        <v>198.05119999999999</v>
      </c>
      <c r="CY57">
        <f>AD57</f>
        <v>0</v>
      </c>
      <c r="CZ57">
        <f>AH57</f>
        <v>0</v>
      </c>
      <c r="DA57">
        <f>AL57</f>
        <v>1</v>
      </c>
      <c r="DB57">
        <f t="shared" si="12"/>
        <v>0</v>
      </c>
      <c r="DC57">
        <f t="shared" si="13"/>
        <v>0</v>
      </c>
      <c r="DD57" t="s">
        <v>3</v>
      </c>
      <c r="DE57" t="s">
        <v>3</v>
      </c>
      <c r="DF57">
        <f t="shared" si="7"/>
        <v>0</v>
      </c>
      <c r="DG57">
        <f t="shared" si="8"/>
        <v>0</v>
      </c>
      <c r="DH57">
        <f t="shared" si="9"/>
        <v>0</v>
      </c>
      <c r="DI57">
        <f t="shared" si="10"/>
        <v>0</v>
      </c>
      <c r="DJ57">
        <f>DI57</f>
        <v>0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5">
      <c r="A58">
        <f>ROW(Source!A141)</f>
        <v>141</v>
      </c>
      <c r="B58">
        <v>80889732</v>
      </c>
      <c r="C58">
        <v>80890066</v>
      </c>
      <c r="D58">
        <v>80199986</v>
      </c>
      <c r="E58">
        <v>15514512</v>
      </c>
      <c r="F58">
        <v>1</v>
      </c>
      <c r="G58">
        <v>15514512</v>
      </c>
      <c r="H58">
        <v>1</v>
      </c>
      <c r="I58" t="s">
        <v>285</v>
      </c>
      <c r="J58" t="s">
        <v>3</v>
      </c>
      <c r="K58" t="s">
        <v>286</v>
      </c>
      <c r="L58">
        <v>1191</v>
      </c>
      <c r="N58">
        <v>1013</v>
      </c>
      <c r="O58" t="s">
        <v>287</v>
      </c>
      <c r="P58" t="s">
        <v>287</v>
      </c>
      <c r="Q58">
        <v>1</v>
      </c>
      <c r="W58">
        <v>0</v>
      </c>
      <c r="X58">
        <v>476480486</v>
      </c>
      <c r="Y58">
        <f t="shared" si="11"/>
        <v>0.48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0.48</v>
      </c>
      <c r="AU58" t="s">
        <v>3</v>
      </c>
      <c r="AV58">
        <v>1</v>
      </c>
      <c r="AW58">
        <v>2</v>
      </c>
      <c r="AX58">
        <v>80890183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U58">
        <f>ROUND(AT58*Source!I141*AH58*AL58,2)</f>
        <v>0</v>
      </c>
      <c r="CV58">
        <f>ROUND(Y58*Source!I141,9)</f>
        <v>178.24799999999999</v>
      </c>
      <c r="CW58">
        <v>0</v>
      </c>
      <c r="CX58">
        <f>ROUND(Y58*Source!I141,9)</f>
        <v>178.24799999999999</v>
      </c>
      <c r="CY58">
        <f>AD58</f>
        <v>0</v>
      </c>
      <c r="CZ58">
        <f>AH58</f>
        <v>0</v>
      </c>
      <c r="DA58">
        <f>AL58</f>
        <v>1</v>
      </c>
      <c r="DB58">
        <f t="shared" si="12"/>
        <v>0</v>
      </c>
      <c r="DC58">
        <f t="shared" si="13"/>
        <v>0</v>
      </c>
      <c r="DD58" t="s">
        <v>3</v>
      </c>
      <c r="DE58" t="s">
        <v>3</v>
      </c>
      <c r="DF58">
        <f t="shared" si="7"/>
        <v>0</v>
      </c>
      <c r="DG58">
        <f t="shared" si="8"/>
        <v>0</v>
      </c>
      <c r="DH58">
        <f t="shared" si="9"/>
        <v>0</v>
      </c>
      <c r="DI58">
        <f t="shared" si="10"/>
        <v>0</v>
      </c>
      <c r="DJ58">
        <f>DI58</f>
        <v>0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5">
      <c r="A59">
        <f>ROW(Source!A141)</f>
        <v>141</v>
      </c>
      <c r="B59">
        <v>80889732</v>
      </c>
      <c r="C59">
        <v>80890066</v>
      </c>
      <c r="D59">
        <v>80213338</v>
      </c>
      <c r="E59">
        <v>1</v>
      </c>
      <c r="F59">
        <v>1</v>
      </c>
      <c r="G59">
        <v>15514512</v>
      </c>
      <c r="H59">
        <v>2</v>
      </c>
      <c r="I59" t="s">
        <v>322</v>
      </c>
      <c r="J59" t="s">
        <v>323</v>
      </c>
      <c r="K59" t="s">
        <v>324</v>
      </c>
      <c r="L59">
        <v>1368</v>
      </c>
      <c r="N59">
        <v>1011</v>
      </c>
      <c r="O59" t="s">
        <v>284</v>
      </c>
      <c r="P59" t="s">
        <v>284</v>
      </c>
      <c r="Q59">
        <v>1</v>
      </c>
      <c r="W59">
        <v>0</v>
      </c>
      <c r="X59">
        <v>-1581114072</v>
      </c>
      <c r="Y59">
        <f t="shared" si="11"/>
        <v>0.21</v>
      </c>
      <c r="AA59">
        <v>0</v>
      </c>
      <c r="AB59">
        <v>1650.83</v>
      </c>
      <c r="AC59">
        <v>713.72</v>
      </c>
      <c r="AD59">
        <v>0</v>
      </c>
      <c r="AE59">
        <v>0</v>
      </c>
      <c r="AF59">
        <v>1650.83</v>
      </c>
      <c r="AG59">
        <v>713.72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0.21</v>
      </c>
      <c r="AU59" t="s">
        <v>3</v>
      </c>
      <c r="AV59">
        <v>0</v>
      </c>
      <c r="AW59">
        <v>2</v>
      </c>
      <c r="AX59">
        <v>80890184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f>ROUND(Y59*Source!I141*DO59,9)</f>
        <v>0</v>
      </c>
      <c r="CX59">
        <f>ROUND(Y59*Source!I141,9)</f>
        <v>77.983500000000006</v>
      </c>
      <c r="CY59">
        <f>AB59</f>
        <v>1650.83</v>
      </c>
      <c r="CZ59">
        <f>AF59</f>
        <v>1650.83</v>
      </c>
      <c r="DA59">
        <f>AJ59</f>
        <v>1</v>
      </c>
      <c r="DB59">
        <f t="shared" si="12"/>
        <v>346.67</v>
      </c>
      <c r="DC59">
        <f t="shared" si="13"/>
        <v>149.88</v>
      </c>
      <c r="DD59" t="s">
        <v>3</v>
      </c>
      <c r="DE59" t="s">
        <v>3</v>
      </c>
      <c r="DF59">
        <f t="shared" si="7"/>
        <v>0</v>
      </c>
      <c r="DG59">
        <f t="shared" si="8"/>
        <v>128737.5</v>
      </c>
      <c r="DH59">
        <f t="shared" si="9"/>
        <v>55658.38</v>
      </c>
      <c r="DI59">
        <f t="shared" si="10"/>
        <v>0</v>
      </c>
      <c r="DJ59">
        <f>DG59</f>
        <v>128737.5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5">
      <c r="A60">
        <f>ROW(Source!A141)</f>
        <v>141</v>
      </c>
      <c r="B60">
        <v>80889732</v>
      </c>
      <c r="C60">
        <v>80890066</v>
      </c>
      <c r="D60">
        <v>80215861</v>
      </c>
      <c r="E60">
        <v>1</v>
      </c>
      <c r="F60">
        <v>1</v>
      </c>
      <c r="G60">
        <v>15514512</v>
      </c>
      <c r="H60">
        <v>3</v>
      </c>
      <c r="I60" t="s">
        <v>325</v>
      </c>
      <c r="J60" t="s">
        <v>326</v>
      </c>
      <c r="K60" t="s">
        <v>327</v>
      </c>
      <c r="L60">
        <v>1354</v>
      </c>
      <c r="N60">
        <v>1010</v>
      </c>
      <c r="O60" t="s">
        <v>303</v>
      </c>
      <c r="P60" t="s">
        <v>303</v>
      </c>
      <c r="Q60">
        <v>1</v>
      </c>
      <c r="W60">
        <v>0</v>
      </c>
      <c r="X60">
        <v>1239831338</v>
      </c>
      <c r="Y60">
        <f t="shared" si="11"/>
        <v>8</v>
      </c>
      <c r="AA60">
        <v>9.1</v>
      </c>
      <c r="AB60">
        <v>0</v>
      </c>
      <c r="AC60">
        <v>0</v>
      </c>
      <c r="AD60">
        <v>0</v>
      </c>
      <c r="AE60">
        <v>9.1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8</v>
      </c>
      <c r="AU60" t="s">
        <v>3</v>
      </c>
      <c r="AV60">
        <v>0</v>
      </c>
      <c r="AW60">
        <v>2</v>
      </c>
      <c r="AX60">
        <v>80890185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ROUND(Y60*Source!I141,9)</f>
        <v>2970.8</v>
      </c>
      <c r="CY60">
        <f>AA60</f>
        <v>9.1</v>
      </c>
      <c r="CZ60">
        <f>AE60</f>
        <v>9.1</v>
      </c>
      <c r="DA60">
        <f>AI60</f>
        <v>1</v>
      </c>
      <c r="DB60">
        <f t="shared" si="12"/>
        <v>72.8</v>
      </c>
      <c r="DC60">
        <f t="shared" si="13"/>
        <v>0</v>
      </c>
      <c r="DD60" t="s">
        <v>3</v>
      </c>
      <c r="DE60" t="s">
        <v>3</v>
      </c>
      <c r="DF60">
        <f t="shared" si="7"/>
        <v>27034.28</v>
      </c>
      <c r="DG60">
        <f t="shared" si="8"/>
        <v>0</v>
      </c>
      <c r="DH60">
        <f t="shared" si="9"/>
        <v>0</v>
      </c>
      <c r="DI60">
        <f t="shared" si="10"/>
        <v>0</v>
      </c>
      <c r="DJ60">
        <f>DF60</f>
        <v>27034.28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5">
      <c r="A61">
        <f>ROW(Source!A142)</f>
        <v>142</v>
      </c>
      <c r="B61">
        <v>80889732</v>
      </c>
      <c r="C61">
        <v>80890067</v>
      </c>
      <c r="D61">
        <v>80199986</v>
      </c>
      <c r="E61">
        <v>15514512</v>
      </c>
      <c r="F61">
        <v>1</v>
      </c>
      <c r="G61">
        <v>15514512</v>
      </c>
      <c r="H61">
        <v>1</v>
      </c>
      <c r="I61" t="s">
        <v>285</v>
      </c>
      <c r="J61" t="s">
        <v>3</v>
      </c>
      <c r="K61" t="s">
        <v>286</v>
      </c>
      <c r="L61">
        <v>1191</v>
      </c>
      <c r="N61">
        <v>1013</v>
      </c>
      <c r="O61" t="s">
        <v>287</v>
      </c>
      <c r="P61" t="s">
        <v>287</v>
      </c>
      <c r="Q61">
        <v>1</v>
      </c>
      <c r="W61">
        <v>0</v>
      </c>
      <c r="X61">
        <v>476480486</v>
      </c>
      <c r="Y61">
        <f>(AT61*199)</f>
        <v>9.9500000000000011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0.05</v>
      </c>
      <c r="AU61" t="s">
        <v>196</v>
      </c>
      <c r="AV61">
        <v>1</v>
      </c>
      <c r="AW61">
        <v>2</v>
      </c>
      <c r="AX61">
        <v>80890186</v>
      </c>
      <c r="AY61">
        <v>1</v>
      </c>
      <c r="AZ61">
        <v>2048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U61">
        <f>ROUND(AT61*Source!I142*AH61*AL61,2)</f>
        <v>0</v>
      </c>
      <c r="CV61">
        <f>ROUND(Y61*Source!I142,9)</f>
        <v>2463.2618000000002</v>
      </c>
      <c r="CW61">
        <v>0</v>
      </c>
      <c r="CX61">
        <f>ROUND(Y61*Source!I142,9)</f>
        <v>2463.2618000000002</v>
      </c>
      <c r="CY61">
        <f>AD61</f>
        <v>0</v>
      </c>
      <c r="CZ61">
        <f>AH61</f>
        <v>0</v>
      </c>
      <c r="DA61">
        <f>AL61</f>
        <v>1</v>
      </c>
      <c r="DB61">
        <f>ROUND((ROUND(AT61*CZ61,2)*199),6)</f>
        <v>0</v>
      </c>
      <c r="DC61">
        <f>ROUND((ROUND(AT61*AG61,2)*199),6)</f>
        <v>0</v>
      </c>
      <c r="DD61" t="s">
        <v>3</v>
      </c>
      <c r="DE61" t="s">
        <v>3</v>
      </c>
      <c r="DF61">
        <f t="shared" si="7"/>
        <v>0</v>
      </c>
      <c r="DG61">
        <f t="shared" si="8"/>
        <v>0</v>
      </c>
      <c r="DH61">
        <f t="shared" si="9"/>
        <v>0</v>
      </c>
      <c r="DI61">
        <f t="shared" si="10"/>
        <v>0</v>
      </c>
      <c r="DJ61">
        <f>DI61</f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5">
      <c r="A62">
        <f>ROW(Source!A142)</f>
        <v>142</v>
      </c>
      <c r="B62">
        <v>80889732</v>
      </c>
      <c r="C62">
        <v>80890067</v>
      </c>
      <c r="D62">
        <v>80215861</v>
      </c>
      <c r="E62">
        <v>1</v>
      </c>
      <c r="F62">
        <v>1</v>
      </c>
      <c r="G62">
        <v>15514512</v>
      </c>
      <c r="H62">
        <v>3</v>
      </c>
      <c r="I62" t="s">
        <v>325</v>
      </c>
      <c r="J62" t="s">
        <v>326</v>
      </c>
      <c r="K62" t="s">
        <v>327</v>
      </c>
      <c r="L62">
        <v>1354</v>
      </c>
      <c r="N62">
        <v>1010</v>
      </c>
      <c r="O62" t="s">
        <v>303</v>
      </c>
      <c r="P62" t="s">
        <v>303</v>
      </c>
      <c r="Q62">
        <v>1</v>
      </c>
      <c r="W62">
        <v>0</v>
      </c>
      <c r="X62">
        <v>1239831338</v>
      </c>
      <c r="Y62">
        <f>(AT62*199)</f>
        <v>19.900000000000002</v>
      </c>
      <c r="AA62">
        <v>9.1</v>
      </c>
      <c r="AB62">
        <v>0</v>
      </c>
      <c r="AC62">
        <v>0</v>
      </c>
      <c r="AD62">
        <v>0</v>
      </c>
      <c r="AE62">
        <v>9.1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0.1</v>
      </c>
      <c r="AU62" t="s">
        <v>196</v>
      </c>
      <c r="AV62">
        <v>0</v>
      </c>
      <c r="AW62">
        <v>2</v>
      </c>
      <c r="AX62">
        <v>80890187</v>
      </c>
      <c r="AY62">
        <v>1</v>
      </c>
      <c r="AZ62">
        <v>2048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v>0</v>
      </c>
      <c r="CX62">
        <f>ROUND(Y62*Source!I142,9)</f>
        <v>4926.5236000000004</v>
      </c>
      <c r="CY62">
        <f>AA62</f>
        <v>9.1</v>
      </c>
      <c r="CZ62">
        <f>AE62</f>
        <v>9.1</v>
      </c>
      <c r="DA62">
        <f>AI62</f>
        <v>1</v>
      </c>
      <c r="DB62">
        <f>ROUND((ROUND(AT62*CZ62,2)*199),6)</f>
        <v>181.09</v>
      </c>
      <c r="DC62">
        <f>ROUND((ROUND(AT62*AG62,2)*199),6)</f>
        <v>0</v>
      </c>
      <c r="DD62" t="s">
        <v>3</v>
      </c>
      <c r="DE62" t="s">
        <v>3</v>
      </c>
      <c r="DF62">
        <f t="shared" si="7"/>
        <v>44831.360000000001</v>
      </c>
      <c r="DG62">
        <f t="shared" si="8"/>
        <v>0</v>
      </c>
      <c r="DH62">
        <f t="shared" si="9"/>
        <v>0</v>
      </c>
      <c r="DI62">
        <f t="shared" si="10"/>
        <v>0</v>
      </c>
      <c r="DJ62">
        <f>DF62</f>
        <v>44831.360000000001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5">
      <c r="A63">
        <f>ROW(Source!A143)</f>
        <v>143</v>
      </c>
      <c r="B63">
        <v>80889732</v>
      </c>
      <c r="C63">
        <v>80890068</v>
      </c>
      <c r="D63">
        <v>80199986</v>
      </c>
      <c r="E63">
        <v>15514512</v>
      </c>
      <c r="F63">
        <v>1</v>
      </c>
      <c r="G63">
        <v>15514512</v>
      </c>
      <c r="H63">
        <v>1</v>
      </c>
      <c r="I63" t="s">
        <v>285</v>
      </c>
      <c r="J63" t="s">
        <v>3</v>
      </c>
      <c r="K63" t="s">
        <v>286</v>
      </c>
      <c r="L63">
        <v>1191</v>
      </c>
      <c r="N63">
        <v>1013</v>
      </c>
      <c r="O63" t="s">
        <v>287</v>
      </c>
      <c r="P63" t="s">
        <v>287</v>
      </c>
      <c r="Q63">
        <v>1</v>
      </c>
      <c r="W63">
        <v>0</v>
      </c>
      <c r="X63">
        <v>476480486</v>
      </c>
      <c r="Y63">
        <f>(AT63*14)</f>
        <v>13.719999999999999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0.98</v>
      </c>
      <c r="AU63" t="s">
        <v>221</v>
      </c>
      <c r="AV63">
        <v>1</v>
      </c>
      <c r="AW63">
        <v>2</v>
      </c>
      <c r="AX63">
        <v>80890188</v>
      </c>
      <c r="AY63">
        <v>1</v>
      </c>
      <c r="AZ63">
        <v>2048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U63">
        <f>ROUND(AT63*Source!I143*AH63*AL63,2)</f>
        <v>0</v>
      </c>
      <c r="CV63">
        <f>ROUND(Y63*Source!I143,9)</f>
        <v>16982.8904</v>
      </c>
      <c r="CW63">
        <v>0</v>
      </c>
      <c r="CX63">
        <f>ROUND(Y63*Source!I143,9)</f>
        <v>16982.8904</v>
      </c>
      <c r="CY63">
        <f>AD63</f>
        <v>0</v>
      </c>
      <c r="CZ63">
        <f>AH63</f>
        <v>0</v>
      </c>
      <c r="DA63">
        <f>AL63</f>
        <v>1</v>
      </c>
      <c r="DB63">
        <f>ROUND((ROUND(AT63*CZ63,2)*14),6)</f>
        <v>0</v>
      </c>
      <c r="DC63">
        <f>ROUND((ROUND(AT63*AG63,2)*14),6)</f>
        <v>0</v>
      </c>
      <c r="DD63" t="s">
        <v>3</v>
      </c>
      <c r="DE63" t="s">
        <v>3</v>
      </c>
      <c r="DF63">
        <f t="shared" si="7"/>
        <v>0</v>
      </c>
      <c r="DG63">
        <f t="shared" si="8"/>
        <v>0</v>
      </c>
      <c r="DH63">
        <f t="shared" si="9"/>
        <v>0</v>
      </c>
      <c r="DI63">
        <f t="shared" si="10"/>
        <v>0</v>
      </c>
      <c r="DJ63">
        <f>DI63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5">
      <c r="A64">
        <f>ROW(Source!A143)</f>
        <v>143</v>
      </c>
      <c r="B64">
        <v>80889732</v>
      </c>
      <c r="C64">
        <v>80890068</v>
      </c>
      <c r="D64">
        <v>80213130</v>
      </c>
      <c r="E64">
        <v>1</v>
      </c>
      <c r="F64">
        <v>1</v>
      </c>
      <c r="G64">
        <v>15514512</v>
      </c>
      <c r="H64">
        <v>2</v>
      </c>
      <c r="I64" t="s">
        <v>328</v>
      </c>
      <c r="J64" t="s">
        <v>329</v>
      </c>
      <c r="K64" t="s">
        <v>330</v>
      </c>
      <c r="L64">
        <v>1368</v>
      </c>
      <c r="N64">
        <v>1011</v>
      </c>
      <c r="O64" t="s">
        <v>284</v>
      </c>
      <c r="P64" t="s">
        <v>284</v>
      </c>
      <c r="Q64">
        <v>1</v>
      </c>
      <c r="W64">
        <v>0</v>
      </c>
      <c r="X64">
        <v>398049849</v>
      </c>
      <c r="Y64">
        <f>(AT64*14)</f>
        <v>10.5</v>
      </c>
      <c r="AA64">
        <v>0</v>
      </c>
      <c r="AB64">
        <v>32.590000000000003</v>
      </c>
      <c r="AC64">
        <v>3.28</v>
      </c>
      <c r="AD64">
        <v>0</v>
      </c>
      <c r="AE64">
        <v>0</v>
      </c>
      <c r="AF64">
        <v>32.590000000000003</v>
      </c>
      <c r="AG64">
        <v>3.28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0.75</v>
      </c>
      <c r="AU64" t="s">
        <v>221</v>
      </c>
      <c r="AV64">
        <v>0</v>
      </c>
      <c r="AW64">
        <v>2</v>
      </c>
      <c r="AX64">
        <v>80890189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f>ROUND(Y64*Source!I143*DO64,9)</f>
        <v>0</v>
      </c>
      <c r="CX64">
        <f>ROUND(Y64*Source!I143,9)</f>
        <v>12997.11</v>
      </c>
      <c r="CY64">
        <f>AB64</f>
        <v>32.590000000000003</v>
      </c>
      <c r="CZ64">
        <f>AF64</f>
        <v>32.590000000000003</v>
      </c>
      <c r="DA64">
        <f>AJ64</f>
        <v>1</v>
      </c>
      <c r="DB64">
        <f>ROUND((ROUND(AT64*CZ64,2)*14),6)</f>
        <v>342.16</v>
      </c>
      <c r="DC64">
        <f>ROUND((ROUND(AT64*AG64,2)*14),6)</f>
        <v>34.44</v>
      </c>
      <c r="DD64" t="s">
        <v>3</v>
      </c>
      <c r="DE64" t="s">
        <v>3</v>
      </c>
      <c r="DF64">
        <f t="shared" si="7"/>
        <v>0</v>
      </c>
      <c r="DG64">
        <f t="shared" si="8"/>
        <v>423575.81</v>
      </c>
      <c r="DH64">
        <f t="shared" si="9"/>
        <v>42630.52</v>
      </c>
      <c r="DI64">
        <f t="shared" si="10"/>
        <v>0</v>
      </c>
      <c r="DJ64">
        <f>DG64</f>
        <v>423575.81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5">
      <c r="A65">
        <f>ROW(Source!A144)</f>
        <v>144</v>
      </c>
      <c r="B65">
        <v>80889732</v>
      </c>
      <c r="C65">
        <v>80890069</v>
      </c>
      <c r="D65">
        <v>80199986</v>
      </c>
      <c r="E65">
        <v>15514512</v>
      </c>
      <c r="F65">
        <v>1</v>
      </c>
      <c r="G65">
        <v>15514512</v>
      </c>
      <c r="H65">
        <v>1</v>
      </c>
      <c r="I65" t="s">
        <v>285</v>
      </c>
      <c r="J65" t="s">
        <v>3</v>
      </c>
      <c r="K65" t="s">
        <v>286</v>
      </c>
      <c r="L65">
        <v>1191</v>
      </c>
      <c r="N65">
        <v>1013</v>
      </c>
      <c r="O65" t="s">
        <v>287</v>
      </c>
      <c r="P65" t="s">
        <v>287</v>
      </c>
      <c r="Q65">
        <v>1</v>
      </c>
      <c r="W65">
        <v>0</v>
      </c>
      <c r="X65">
        <v>476480486</v>
      </c>
      <c r="Y65">
        <f>(AT65*14)</f>
        <v>7.8400000000000007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0.56000000000000005</v>
      </c>
      <c r="AU65" t="s">
        <v>221</v>
      </c>
      <c r="AV65">
        <v>1</v>
      </c>
      <c r="AW65">
        <v>2</v>
      </c>
      <c r="AX65">
        <v>80890190</v>
      </c>
      <c r="AY65">
        <v>1</v>
      </c>
      <c r="AZ65">
        <v>2048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U65">
        <f>ROUND(AT65*Source!I144*AH65*AL65,2)</f>
        <v>0</v>
      </c>
      <c r="CV65">
        <f>ROUND(Y65*Source!I144,9)</f>
        <v>3881.8035199999999</v>
      </c>
      <c r="CW65">
        <v>0</v>
      </c>
      <c r="CX65">
        <f>ROUND(Y65*Source!I144,9)</f>
        <v>3881.8035199999999</v>
      </c>
      <c r="CY65">
        <f>AD65</f>
        <v>0</v>
      </c>
      <c r="CZ65">
        <f>AH65</f>
        <v>0</v>
      </c>
      <c r="DA65">
        <f>AL65</f>
        <v>1</v>
      </c>
      <c r="DB65">
        <f>ROUND((ROUND(AT65*CZ65,2)*14),6)</f>
        <v>0</v>
      </c>
      <c r="DC65">
        <f>ROUND((ROUND(AT65*AG65,2)*14),6)</f>
        <v>0</v>
      </c>
      <c r="DD65" t="s">
        <v>3</v>
      </c>
      <c r="DE65" t="s">
        <v>3</v>
      </c>
      <c r="DF65">
        <f t="shared" ref="DF65:DF84" si="14">ROUND(ROUND(AE65,2)*CX65,2)</f>
        <v>0</v>
      </c>
      <c r="DG65">
        <f t="shared" ref="DG65:DG84" si="15">ROUND(ROUND(AF65,2)*CX65,2)</f>
        <v>0</v>
      </c>
      <c r="DH65">
        <f t="shared" ref="DH65:DH84" si="16">ROUND(ROUND(AG65,2)*CX65,2)</f>
        <v>0</v>
      </c>
      <c r="DI65">
        <f t="shared" ref="DI65:DI84" si="17">ROUND(ROUND(AH65,2)*CX65,2)</f>
        <v>0</v>
      </c>
      <c r="DJ65">
        <f>DI65</f>
        <v>0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5">
      <c r="A66">
        <f>ROW(Source!A144)</f>
        <v>144</v>
      </c>
      <c r="B66">
        <v>80889732</v>
      </c>
      <c r="C66">
        <v>80890069</v>
      </c>
      <c r="D66">
        <v>80212805</v>
      </c>
      <c r="E66">
        <v>1</v>
      </c>
      <c r="F66">
        <v>1</v>
      </c>
      <c r="G66">
        <v>15514512</v>
      </c>
      <c r="H66">
        <v>2</v>
      </c>
      <c r="I66" t="s">
        <v>331</v>
      </c>
      <c r="J66" t="s">
        <v>332</v>
      </c>
      <c r="K66" t="s">
        <v>333</v>
      </c>
      <c r="L66">
        <v>1368</v>
      </c>
      <c r="N66">
        <v>1011</v>
      </c>
      <c r="O66" t="s">
        <v>284</v>
      </c>
      <c r="P66" t="s">
        <v>284</v>
      </c>
      <c r="Q66">
        <v>1</v>
      </c>
      <c r="W66">
        <v>0</v>
      </c>
      <c r="X66">
        <v>-1652508930</v>
      </c>
      <c r="Y66">
        <f>(AT66*14)</f>
        <v>4.2</v>
      </c>
      <c r="AA66">
        <v>0</v>
      </c>
      <c r="AB66">
        <v>2997.56</v>
      </c>
      <c r="AC66">
        <v>1034.8599999999999</v>
      </c>
      <c r="AD66">
        <v>0</v>
      </c>
      <c r="AE66">
        <v>0</v>
      </c>
      <c r="AF66">
        <v>2997.56</v>
      </c>
      <c r="AG66">
        <v>1034.8599999999999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0.3</v>
      </c>
      <c r="AU66" t="s">
        <v>221</v>
      </c>
      <c r="AV66">
        <v>0</v>
      </c>
      <c r="AW66">
        <v>2</v>
      </c>
      <c r="AX66">
        <v>80890191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f>ROUND(Y66*Source!I144*DO66,9)</f>
        <v>0</v>
      </c>
      <c r="CX66">
        <f>ROUND(Y66*Source!I144,9)</f>
        <v>2079.5376000000001</v>
      </c>
      <c r="CY66">
        <f>AB66</f>
        <v>2997.56</v>
      </c>
      <c r="CZ66">
        <f>AF66</f>
        <v>2997.56</v>
      </c>
      <c r="DA66">
        <f>AJ66</f>
        <v>1</v>
      </c>
      <c r="DB66">
        <f>ROUND((ROUND(AT66*CZ66,2)*14),6)</f>
        <v>12589.78</v>
      </c>
      <c r="DC66">
        <f>ROUND((ROUND(AT66*AG66,2)*14),6)</f>
        <v>4346.4399999999996</v>
      </c>
      <c r="DD66" t="s">
        <v>3</v>
      </c>
      <c r="DE66" t="s">
        <v>3</v>
      </c>
      <c r="DF66">
        <f t="shared" si="14"/>
        <v>0</v>
      </c>
      <c r="DG66">
        <f t="shared" si="15"/>
        <v>6233538.7300000004</v>
      </c>
      <c r="DH66">
        <f t="shared" si="16"/>
        <v>2152030.2799999998</v>
      </c>
      <c r="DI66">
        <f t="shared" si="17"/>
        <v>0</v>
      </c>
      <c r="DJ66">
        <f>DG66</f>
        <v>6233538.7300000004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5">
      <c r="A67">
        <f>ROW(Source!A144)</f>
        <v>144</v>
      </c>
      <c r="B67">
        <v>80889732</v>
      </c>
      <c r="C67">
        <v>80890069</v>
      </c>
      <c r="D67">
        <v>80215470</v>
      </c>
      <c r="E67">
        <v>1</v>
      </c>
      <c r="F67">
        <v>1</v>
      </c>
      <c r="G67">
        <v>15514512</v>
      </c>
      <c r="H67">
        <v>3</v>
      </c>
      <c r="I67" t="s">
        <v>37</v>
      </c>
      <c r="J67" t="s">
        <v>40</v>
      </c>
      <c r="K67" t="s">
        <v>38</v>
      </c>
      <c r="L67">
        <v>1339</v>
      </c>
      <c r="N67">
        <v>1007</v>
      </c>
      <c r="O67" t="s">
        <v>39</v>
      </c>
      <c r="P67" t="s">
        <v>39</v>
      </c>
      <c r="Q67">
        <v>1</v>
      </c>
      <c r="W67">
        <v>1</v>
      </c>
      <c r="X67">
        <v>2112060389</v>
      </c>
      <c r="Y67">
        <f>(AT67*14)</f>
        <v>-14</v>
      </c>
      <c r="AA67">
        <v>54.81</v>
      </c>
      <c r="AB67">
        <v>0</v>
      </c>
      <c r="AC67">
        <v>0</v>
      </c>
      <c r="AD67">
        <v>0</v>
      </c>
      <c r="AE67">
        <v>54.81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-1</v>
      </c>
      <c r="AU67" t="s">
        <v>221</v>
      </c>
      <c r="AV67">
        <v>0</v>
      </c>
      <c r="AW67">
        <v>2</v>
      </c>
      <c r="AX67">
        <v>80890192</v>
      </c>
      <c r="AY67">
        <v>1</v>
      </c>
      <c r="AZ67">
        <v>6144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v>0</v>
      </c>
      <c r="CX67">
        <f>ROUND(Y67*Source!I144,9)</f>
        <v>-6931.7920000000004</v>
      </c>
      <c r="CY67">
        <f>AA67</f>
        <v>54.81</v>
      </c>
      <c r="CZ67">
        <f>AE67</f>
        <v>54.81</v>
      </c>
      <c r="DA67">
        <f>AI67</f>
        <v>1</v>
      </c>
      <c r="DB67">
        <f>ROUND((ROUND(AT67*CZ67,2)*14),6)</f>
        <v>-767.34</v>
      </c>
      <c r="DC67">
        <f>ROUND((ROUND(AT67*AG67,2)*14),6)</f>
        <v>0</v>
      </c>
      <c r="DD67" t="s">
        <v>3</v>
      </c>
      <c r="DE67" t="s">
        <v>3</v>
      </c>
      <c r="DF67">
        <f t="shared" si="14"/>
        <v>-379931.52</v>
      </c>
      <c r="DG67">
        <f t="shared" si="15"/>
        <v>0</v>
      </c>
      <c r="DH67">
        <f t="shared" si="16"/>
        <v>0</v>
      </c>
      <c r="DI67">
        <f t="shared" si="17"/>
        <v>0</v>
      </c>
      <c r="DJ67">
        <f>DF67</f>
        <v>-379931.52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5">
      <c r="A68">
        <f>ROW(Source!A146)</f>
        <v>146</v>
      </c>
      <c r="B68">
        <v>80889732</v>
      </c>
      <c r="C68">
        <v>80890070</v>
      </c>
      <c r="D68">
        <v>80199986</v>
      </c>
      <c r="E68">
        <v>15514512</v>
      </c>
      <c r="F68">
        <v>1</v>
      </c>
      <c r="G68">
        <v>15514512</v>
      </c>
      <c r="H68">
        <v>1</v>
      </c>
      <c r="I68" t="s">
        <v>285</v>
      </c>
      <c r="J68" t="s">
        <v>3</v>
      </c>
      <c r="K68" t="s">
        <v>286</v>
      </c>
      <c r="L68">
        <v>1191</v>
      </c>
      <c r="N68">
        <v>1013</v>
      </c>
      <c r="O68" t="s">
        <v>287</v>
      </c>
      <c r="P68" t="s">
        <v>287</v>
      </c>
      <c r="Q68">
        <v>1</v>
      </c>
      <c r="W68">
        <v>0</v>
      </c>
      <c r="X68">
        <v>476480486</v>
      </c>
      <c r="Y68">
        <f>AT68</f>
        <v>0.7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0.7</v>
      </c>
      <c r="AU68" t="s">
        <v>3</v>
      </c>
      <c r="AV68">
        <v>1</v>
      </c>
      <c r="AW68">
        <v>2</v>
      </c>
      <c r="AX68">
        <v>80890194</v>
      </c>
      <c r="AY68">
        <v>1</v>
      </c>
      <c r="AZ68">
        <v>0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U68">
        <f>ROUND(AT68*Source!I146*AH68*AL68,2)</f>
        <v>0</v>
      </c>
      <c r="CV68">
        <f>ROUND(Y68*Source!I146,9)</f>
        <v>433.23700000000002</v>
      </c>
      <c r="CW68">
        <v>0</v>
      </c>
      <c r="CX68">
        <f>ROUND(Y68*Source!I146,9)</f>
        <v>433.23700000000002</v>
      </c>
      <c r="CY68">
        <f>AD68</f>
        <v>0</v>
      </c>
      <c r="CZ68">
        <f>AH68</f>
        <v>0</v>
      </c>
      <c r="DA68">
        <f>AL68</f>
        <v>1</v>
      </c>
      <c r="DB68">
        <f>ROUND(ROUND(AT68*CZ68,2),6)</f>
        <v>0</v>
      </c>
      <c r="DC68">
        <f>ROUND(ROUND(AT68*AG68,2),6)</f>
        <v>0</v>
      </c>
      <c r="DD68" t="s">
        <v>3</v>
      </c>
      <c r="DE68" t="s">
        <v>3</v>
      </c>
      <c r="DF68">
        <f t="shared" si="14"/>
        <v>0</v>
      </c>
      <c r="DG68">
        <f t="shared" si="15"/>
        <v>0</v>
      </c>
      <c r="DH68">
        <f t="shared" si="16"/>
        <v>0</v>
      </c>
      <c r="DI68">
        <f t="shared" si="17"/>
        <v>0</v>
      </c>
      <c r="DJ68">
        <f>DI68</f>
        <v>0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5">
      <c r="A69">
        <f>ROW(Source!A146)</f>
        <v>146</v>
      </c>
      <c r="B69">
        <v>80889732</v>
      </c>
      <c r="C69">
        <v>80890070</v>
      </c>
      <c r="D69">
        <v>80217208</v>
      </c>
      <c r="E69">
        <v>1</v>
      </c>
      <c r="F69">
        <v>1</v>
      </c>
      <c r="G69">
        <v>15514512</v>
      </c>
      <c r="H69">
        <v>3</v>
      </c>
      <c r="I69" t="s">
        <v>232</v>
      </c>
      <c r="J69" t="s">
        <v>235</v>
      </c>
      <c r="K69" t="s">
        <v>233</v>
      </c>
      <c r="L69">
        <v>1346</v>
      </c>
      <c r="N69">
        <v>1009</v>
      </c>
      <c r="O69" t="s">
        <v>234</v>
      </c>
      <c r="P69" t="s">
        <v>234</v>
      </c>
      <c r="Q69">
        <v>1</v>
      </c>
      <c r="W69">
        <v>0</v>
      </c>
      <c r="X69">
        <v>-606801753</v>
      </c>
      <c r="Y69">
        <f>AT69</f>
        <v>5</v>
      </c>
      <c r="AA69">
        <v>109.62</v>
      </c>
      <c r="AB69">
        <v>0</v>
      </c>
      <c r="AC69">
        <v>0</v>
      </c>
      <c r="AD69">
        <v>0</v>
      </c>
      <c r="AE69">
        <v>109.62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0</v>
      </c>
      <c r="AN69">
        <v>0</v>
      </c>
      <c r="AO69">
        <v>0</v>
      </c>
      <c r="AP69">
        <v>1</v>
      </c>
      <c r="AQ69">
        <v>0</v>
      </c>
      <c r="AR69">
        <v>0</v>
      </c>
      <c r="AS69" t="s">
        <v>3</v>
      </c>
      <c r="AT69">
        <v>5</v>
      </c>
      <c r="AU69" t="s">
        <v>3</v>
      </c>
      <c r="AV69">
        <v>0</v>
      </c>
      <c r="AW69">
        <v>1</v>
      </c>
      <c r="AX69">
        <v>-1</v>
      </c>
      <c r="AY69">
        <v>0</v>
      </c>
      <c r="AZ69">
        <v>0</v>
      </c>
      <c r="BA69" t="s">
        <v>3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v>0</v>
      </c>
      <c r="CX69">
        <f>ROUND(Y69*Source!I146,9)</f>
        <v>3094.55</v>
      </c>
      <c r="CY69">
        <f>AA69</f>
        <v>109.62</v>
      </c>
      <c r="CZ69">
        <f>AE69</f>
        <v>109.62</v>
      </c>
      <c r="DA69">
        <f>AI69</f>
        <v>1</v>
      </c>
      <c r="DB69">
        <f>ROUND(ROUND(AT69*CZ69,2),6)</f>
        <v>548.1</v>
      </c>
      <c r="DC69">
        <f>ROUND(ROUND(AT69*AG69,2),6)</f>
        <v>0</v>
      </c>
      <c r="DD69" t="s">
        <v>3</v>
      </c>
      <c r="DE69" t="s">
        <v>3</v>
      </c>
      <c r="DF69">
        <f t="shared" si="14"/>
        <v>339224.57</v>
      </c>
      <c r="DG69">
        <f t="shared" si="15"/>
        <v>0</v>
      </c>
      <c r="DH69">
        <f t="shared" si="16"/>
        <v>0</v>
      </c>
      <c r="DI69">
        <f t="shared" si="17"/>
        <v>0</v>
      </c>
      <c r="DJ69">
        <f>DF69</f>
        <v>339224.57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5">
      <c r="A70">
        <f>ROW(Source!A148)</f>
        <v>148</v>
      </c>
      <c r="B70">
        <v>80889732</v>
      </c>
      <c r="C70">
        <v>80890814</v>
      </c>
      <c r="D70">
        <v>80199986</v>
      </c>
      <c r="E70">
        <v>15514512</v>
      </c>
      <c r="F70">
        <v>1</v>
      </c>
      <c r="G70">
        <v>15514512</v>
      </c>
      <c r="H70">
        <v>1</v>
      </c>
      <c r="I70" t="s">
        <v>285</v>
      </c>
      <c r="J70" t="s">
        <v>3</v>
      </c>
      <c r="K70" t="s">
        <v>286</v>
      </c>
      <c r="L70">
        <v>1191</v>
      </c>
      <c r="N70">
        <v>1013</v>
      </c>
      <c r="O70" t="s">
        <v>287</v>
      </c>
      <c r="P70" t="s">
        <v>287</v>
      </c>
      <c r="Q70">
        <v>1</v>
      </c>
      <c r="W70">
        <v>0</v>
      </c>
      <c r="X70">
        <v>476480486</v>
      </c>
      <c r="Y70">
        <f>(AT70*6)</f>
        <v>9.48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1.58</v>
      </c>
      <c r="AU70" t="s">
        <v>241</v>
      </c>
      <c r="AV70">
        <v>1</v>
      </c>
      <c r="AW70">
        <v>2</v>
      </c>
      <c r="AX70">
        <v>80890815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U70">
        <f>ROUND(AT70*Source!I148*AH70*AL70,2)</f>
        <v>0</v>
      </c>
      <c r="CV70">
        <f>ROUND(Y70*Source!I148,9)</f>
        <v>2492.2919999999999</v>
      </c>
      <c r="CW70">
        <v>0</v>
      </c>
      <c r="CX70">
        <f>ROUND(Y70*Source!I148,9)</f>
        <v>2492.2919999999999</v>
      </c>
      <c r="CY70">
        <f>AD70</f>
        <v>0</v>
      </c>
      <c r="CZ70">
        <f>AH70</f>
        <v>0</v>
      </c>
      <c r="DA70">
        <f>AL70</f>
        <v>1</v>
      </c>
      <c r="DB70">
        <f>ROUND((ROUND(AT70*CZ70,2)*6),6)</f>
        <v>0</v>
      </c>
      <c r="DC70">
        <f>ROUND((ROUND(AT70*AG70,2)*6),6)</f>
        <v>0</v>
      </c>
      <c r="DD70" t="s">
        <v>3</v>
      </c>
      <c r="DE70" t="s">
        <v>3</v>
      </c>
      <c r="DF70">
        <f t="shared" si="14"/>
        <v>0</v>
      </c>
      <c r="DG70">
        <f t="shared" si="15"/>
        <v>0</v>
      </c>
      <c r="DH70">
        <f t="shared" si="16"/>
        <v>0</v>
      </c>
      <c r="DI70">
        <f t="shared" si="17"/>
        <v>0</v>
      </c>
      <c r="DJ70">
        <f>DI70</f>
        <v>0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5">
      <c r="A71">
        <f>ROW(Source!A148)</f>
        <v>148</v>
      </c>
      <c r="B71">
        <v>80889732</v>
      </c>
      <c r="C71">
        <v>80890814</v>
      </c>
      <c r="D71">
        <v>80215860</v>
      </c>
      <c r="E71">
        <v>1</v>
      </c>
      <c r="F71">
        <v>1</v>
      </c>
      <c r="G71">
        <v>15514512</v>
      </c>
      <c r="H71">
        <v>3</v>
      </c>
      <c r="I71" t="s">
        <v>300</v>
      </c>
      <c r="J71" t="s">
        <v>301</v>
      </c>
      <c r="K71" t="s">
        <v>302</v>
      </c>
      <c r="L71">
        <v>1354</v>
      </c>
      <c r="N71">
        <v>1010</v>
      </c>
      <c r="O71" t="s">
        <v>303</v>
      </c>
      <c r="P71" t="s">
        <v>303</v>
      </c>
      <c r="Q71">
        <v>1</v>
      </c>
      <c r="W71">
        <v>0</v>
      </c>
      <c r="X71">
        <v>-1952007382</v>
      </c>
      <c r="Y71">
        <f>(AT71*6)</f>
        <v>3</v>
      </c>
      <c r="AA71">
        <v>2.75</v>
      </c>
      <c r="AB71">
        <v>0</v>
      </c>
      <c r="AC71">
        <v>0</v>
      </c>
      <c r="AD71">
        <v>0</v>
      </c>
      <c r="AE71">
        <v>2.75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0.5</v>
      </c>
      <c r="AU71" t="s">
        <v>241</v>
      </c>
      <c r="AV71">
        <v>0</v>
      </c>
      <c r="AW71">
        <v>2</v>
      </c>
      <c r="AX71">
        <v>80890816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ROUND(Y71*Source!I148,9)</f>
        <v>788.7</v>
      </c>
      <c r="CY71">
        <f>AA71</f>
        <v>2.75</v>
      </c>
      <c r="CZ71">
        <f>AE71</f>
        <v>2.75</v>
      </c>
      <c r="DA71">
        <f>AI71</f>
        <v>1</v>
      </c>
      <c r="DB71">
        <f>ROUND((ROUND(AT71*CZ71,2)*6),6)</f>
        <v>8.2799999999999994</v>
      </c>
      <c r="DC71">
        <f>ROUND((ROUND(AT71*AG71,2)*6),6)</f>
        <v>0</v>
      </c>
      <c r="DD71" t="s">
        <v>3</v>
      </c>
      <c r="DE71" t="s">
        <v>3</v>
      </c>
      <c r="DF71">
        <f t="shared" si="14"/>
        <v>2168.9299999999998</v>
      </c>
      <c r="DG71">
        <f t="shared" si="15"/>
        <v>0</v>
      </c>
      <c r="DH71">
        <f t="shared" si="16"/>
        <v>0</v>
      </c>
      <c r="DI71">
        <f t="shared" si="17"/>
        <v>0</v>
      </c>
      <c r="DJ71">
        <f>DF71</f>
        <v>2168.9299999999998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5">
      <c r="A72">
        <f>ROW(Source!A149)</f>
        <v>149</v>
      </c>
      <c r="B72">
        <v>80889732</v>
      </c>
      <c r="C72">
        <v>80890817</v>
      </c>
      <c r="D72">
        <v>80199986</v>
      </c>
      <c r="E72">
        <v>15514512</v>
      </c>
      <c r="F72">
        <v>1</v>
      </c>
      <c r="G72">
        <v>15514512</v>
      </c>
      <c r="H72">
        <v>1</v>
      </c>
      <c r="I72" t="s">
        <v>285</v>
      </c>
      <c r="J72" t="s">
        <v>3</v>
      </c>
      <c r="K72" t="s">
        <v>286</v>
      </c>
      <c r="L72">
        <v>1191</v>
      </c>
      <c r="N72">
        <v>1013</v>
      </c>
      <c r="O72" t="s">
        <v>287</v>
      </c>
      <c r="P72" t="s">
        <v>287</v>
      </c>
      <c r="Q72">
        <v>1</v>
      </c>
      <c r="W72">
        <v>0</v>
      </c>
      <c r="X72">
        <v>476480486</v>
      </c>
      <c r="Y72">
        <f>(AT72*28)</f>
        <v>15.680000000000001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0.56000000000000005</v>
      </c>
      <c r="AU72" t="s">
        <v>181</v>
      </c>
      <c r="AV72">
        <v>1</v>
      </c>
      <c r="AW72">
        <v>2</v>
      </c>
      <c r="AX72">
        <v>80890821</v>
      </c>
      <c r="AY72">
        <v>1</v>
      </c>
      <c r="AZ72">
        <v>2048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U72">
        <f>ROUND(AT72*Source!I149*AH72*AL72,2)</f>
        <v>0</v>
      </c>
      <c r="CV72">
        <f>ROUND(Y72*Source!I149,9)</f>
        <v>1801.1929600000001</v>
      </c>
      <c r="CW72">
        <v>0</v>
      </c>
      <c r="CX72">
        <f>ROUND(Y72*Source!I149,9)</f>
        <v>1801.1929600000001</v>
      </c>
      <c r="CY72">
        <f>AD72</f>
        <v>0</v>
      </c>
      <c r="CZ72">
        <f>AH72</f>
        <v>0</v>
      </c>
      <c r="DA72">
        <f>AL72</f>
        <v>1</v>
      </c>
      <c r="DB72">
        <f>ROUND((ROUND(AT72*CZ72,2)*28),6)</f>
        <v>0</v>
      </c>
      <c r="DC72">
        <f>ROUND((ROUND(AT72*AG72,2)*28),6)</f>
        <v>0</v>
      </c>
      <c r="DD72" t="s">
        <v>3</v>
      </c>
      <c r="DE72" t="s">
        <v>3</v>
      </c>
      <c r="DF72">
        <f t="shared" si="14"/>
        <v>0</v>
      </c>
      <c r="DG72">
        <f t="shared" si="15"/>
        <v>0</v>
      </c>
      <c r="DH72">
        <f t="shared" si="16"/>
        <v>0</v>
      </c>
      <c r="DI72">
        <f t="shared" si="17"/>
        <v>0</v>
      </c>
      <c r="DJ72">
        <f>DI72</f>
        <v>0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5">
      <c r="A73">
        <f>ROW(Source!A149)</f>
        <v>149</v>
      </c>
      <c r="B73">
        <v>80889732</v>
      </c>
      <c r="C73">
        <v>80890817</v>
      </c>
      <c r="D73">
        <v>80212805</v>
      </c>
      <c r="E73">
        <v>1</v>
      </c>
      <c r="F73">
        <v>1</v>
      </c>
      <c r="G73">
        <v>15514512</v>
      </c>
      <c r="H73">
        <v>2</v>
      </c>
      <c r="I73" t="s">
        <v>331</v>
      </c>
      <c r="J73" t="s">
        <v>332</v>
      </c>
      <c r="K73" t="s">
        <v>333</v>
      </c>
      <c r="L73">
        <v>1368</v>
      </c>
      <c r="N73">
        <v>1011</v>
      </c>
      <c r="O73" t="s">
        <v>284</v>
      </c>
      <c r="P73" t="s">
        <v>284</v>
      </c>
      <c r="Q73">
        <v>1</v>
      </c>
      <c r="W73">
        <v>0</v>
      </c>
      <c r="X73">
        <v>-1652508930</v>
      </c>
      <c r="Y73">
        <f>(AT73*28)</f>
        <v>8.4</v>
      </c>
      <c r="AA73">
        <v>0</v>
      </c>
      <c r="AB73">
        <v>2997.56</v>
      </c>
      <c r="AC73">
        <v>1034.8599999999999</v>
      </c>
      <c r="AD73">
        <v>0</v>
      </c>
      <c r="AE73">
        <v>0</v>
      </c>
      <c r="AF73">
        <v>2997.56</v>
      </c>
      <c r="AG73">
        <v>1034.8599999999999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0.3</v>
      </c>
      <c r="AU73" t="s">
        <v>181</v>
      </c>
      <c r="AV73">
        <v>0</v>
      </c>
      <c r="AW73">
        <v>2</v>
      </c>
      <c r="AX73">
        <v>80890822</v>
      </c>
      <c r="AY73">
        <v>1</v>
      </c>
      <c r="AZ73">
        <v>0</v>
      </c>
      <c r="BA73">
        <v>73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f>ROUND(Y73*Source!I149*DO73,9)</f>
        <v>0</v>
      </c>
      <c r="CX73">
        <f>ROUND(Y73*Source!I149,9)</f>
        <v>964.9248</v>
      </c>
      <c r="CY73">
        <f>AB73</f>
        <v>2997.56</v>
      </c>
      <c r="CZ73">
        <f>AF73</f>
        <v>2997.56</v>
      </c>
      <c r="DA73">
        <f>AJ73</f>
        <v>1</v>
      </c>
      <c r="DB73">
        <f>ROUND((ROUND(AT73*CZ73,2)*28),6)</f>
        <v>25179.56</v>
      </c>
      <c r="DC73">
        <f>ROUND((ROUND(AT73*AG73,2)*28),6)</f>
        <v>8692.8799999999992</v>
      </c>
      <c r="DD73" t="s">
        <v>3</v>
      </c>
      <c r="DE73" t="s">
        <v>3</v>
      </c>
      <c r="DF73">
        <f t="shared" si="14"/>
        <v>0</v>
      </c>
      <c r="DG73">
        <f t="shared" si="15"/>
        <v>2892419.98</v>
      </c>
      <c r="DH73">
        <f t="shared" si="16"/>
        <v>998562.08</v>
      </c>
      <c r="DI73">
        <f t="shared" si="17"/>
        <v>0</v>
      </c>
      <c r="DJ73">
        <f>DG73</f>
        <v>2892419.98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5">
      <c r="A74">
        <f>ROW(Source!A149)</f>
        <v>149</v>
      </c>
      <c r="B74">
        <v>80889732</v>
      </c>
      <c r="C74">
        <v>80890817</v>
      </c>
      <c r="D74">
        <v>80215470</v>
      </c>
      <c r="E74">
        <v>1</v>
      </c>
      <c r="F74">
        <v>1</v>
      </c>
      <c r="G74">
        <v>15514512</v>
      </c>
      <c r="H74">
        <v>3</v>
      </c>
      <c r="I74" t="s">
        <v>37</v>
      </c>
      <c r="J74" t="s">
        <v>40</v>
      </c>
      <c r="K74" t="s">
        <v>38</v>
      </c>
      <c r="L74">
        <v>1339</v>
      </c>
      <c r="N74">
        <v>1007</v>
      </c>
      <c r="O74" t="s">
        <v>39</v>
      </c>
      <c r="P74" t="s">
        <v>39</v>
      </c>
      <c r="Q74">
        <v>1</v>
      </c>
      <c r="W74">
        <v>1</v>
      </c>
      <c r="X74">
        <v>2112060389</v>
      </c>
      <c r="Y74">
        <f>(AT74*28)</f>
        <v>-28</v>
      </c>
      <c r="AA74">
        <v>54.81</v>
      </c>
      <c r="AB74">
        <v>0</v>
      </c>
      <c r="AC74">
        <v>0</v>
      </c>
      <c r="AD74">
        <v>0</v>
      </c>
      <c r="AE74">
        <v>54.81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-1</v>
      </c>
      <c r="AU74" t="s">
        <v>181</v>
      </c>
      <c r="AV74">
        <v>0</v>
      </c>
      <c r="AW74">
        <v>2</v>
      </c>
      <c r="AX74">
        <v>80890823</v>
      </c>
      <c r="AY74">
        <v>1</v>
      </c>
      <c r="AZ74">
        <v>6144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ROUND(Y74*Source!I149,9)</f>
        <v>-3216.4160000000002</v>
      </c>
      <c r="CY74">
        <f>AA74</f>
        <v>54.81</v>
      </c>
      <c r="CZ74">
        <f>AE74</f>
        <v>54.81</v>
      </c>
      <c r="DA74">
        <f>AI74</f>
        <v>1</v>
      </c>
      <c r="DB74">
        <f>ROUND((ROUND(AT74*CZ74,2)*28),6)</f>
        <v>-1534.68</v>
      </c>
      <c r="DC74">
        <f>ROUND((ROUND(AT74*AG74,2)*28),6)</f>
        <v>0</v>
      </c>
      <c r="DD74" t="s">
        <v>3</v>
      </c>
      <c r="DE74" t="s">
        <v>3</v>
      </c>
      <c r="DF74">
        <f t="shared" si="14"/>
        <v>-176291.76</v>
      </c>
      <c r="DG74">
        <f t="shared" si="15"/>
        <v>0</v>
      </c>
      <c r="DH74">
        <f t="shared" si="16"/>
        <v>0</v>
      </c>
      <c r="DI74">
        <f t="shared" si="17"/>
        <v>0</v>
      </c>
      <c r="DJ74">
        <f>DF74</f>
        <v>-176291.76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5">
      <c r="A75">
        <f>ROW(Source!A151)</f>
        <v>151</v>
      </c>
      <c r="B75">
        <v>80889732</v>
      </c>
      <c r="C75">
        <v>80890825</v>
      </c>
      <c r="D75">
        <v>80199986</v>
      </c>
      <c r="E75">
        <v>15514512</v>
      </c>
      <c r="F75">
        <v>1</v>
      </c>
      <c r="G75">
        <v>15514512</v>
      </c>
      <c r="H75">
        <v>1</v>
      </c>
      <c r="I75" t="s">
        <v>285</v>
      </c>
      <c r="J75" t="s">
        <v>3</v>
      </c>
      <c r="K75" t="s">
        <v>286</v>
      </c>
      <c r="L75">
        <v>1191</v>
      </c>
      <c r="N75">
        <v>1013</v>
      </c>
      <c r="O75" t="s">
        <v>287</v>
      </c>
      <c r="P75" t="s">
        <v>287</v>
      </c>
      <c r="Q75">
        <v>1</v>
      </c>
      <c r="W75">
        <v>0</v>
      </c>
      <c r="X75">
        <v>476480486</v>
      </c>
      <c r="Y75">
        <f>(AT75*4)</f>
        <v>26.36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6.59</v>
      </c>
      <c r="AU75" t="s">
        <v>249</v>
      </c>
      <c r="AV75">
        <v>1</v>
      </c>
      <c r="AW75">
        <v>2</v>
      </c>
      <c r="AX75">
        <v>80890826</v>
      </c>
      <c r="AY75">
        <v>1</v>
      </c>
      <c r="AZ75">
        <v>0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U75">
        <f>ROUND(AT75*Source!I151*AH75*AL75,2)</f>
        <v>0</v>
      </c>
      <c r="CV75">
        <f>ROUND(Y75*Source!I151,9)</f>
        <v>6056.0254800000002</v>
      </c>
      <c r="CW75">
        <v>0</v>
      </c>
      <c r="CX75">
        <f>ROUND(Y75*Source!I151,9)</f>
        <v>6056.0254800000002</v>
      </c>
      <c r="CY75">
        <f>AD75</f>
        <v>0</v>
      </c>
      <c r="CZ75">
        <f>AH75</f>
        <v>0</v>
      </c>
      <c r="DA75">
        <f>AL75</f>
        <v>1</v>
      </c>
      <c r="DB75">
        <f>ROUND((ROUND(AT75*CZ75,2)*4),6)</f>
        <v>0</v>
      </c>
      <c r="DC75">
        <f>ROUND((ROUND(AT75*AG75,2)*4),6)</f>
        <v>0</v>
      </c>
      <c r="DD75" t="s">
        <v>3</v>
      </c>
      <c r="DE75" t="s">
        <v>3</v>
      </c>
      <c r="DF75">
        <f t="shared" si="14"/>
        <v>0</v>
      </c>
      <c r="DG75">
        <f t="shared" si="15"/>
        <v>0</v>
      </c>
      <c r="DH75">
        <f t="shared" si="16"/>
        <v>0</v>
      </c>
      <c r="DI75">
        <f t="shared" si="17"/>
        <v>0</v>
      </c>
      <c r="DJ75">
        <f>DI75</f>
        <v>0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5">
      <c r="A76">
        <f>ROW(Source!A152)</f>
        <v>152</v>
      </c>
      <c r="B76">
        <v>80889732</v>
      </c>
      <c r="C76">
        <v>80891715</v>
      </c>
      <c r="D76">
        <v>80199986</v>
      </c>
      <c r="E76">
        <v>15514512</v>
      </c>
      <c r="F76">
        <v>1</v>
      </c>
      <c r="G76">
        <v>15514512</v>
      </c>
      <c r="H76">
        <v>1</v>
      </c>
      <c r="I76" t="s">
        <v>285</v>
      </c>
      <c r="J76" t="s">
        <v>3</v>
      </c>
      <c r="K76" t="s">
        <v>286</v>
      </c>
      <c r="L76">
        <v>1191</v>
      </c>
      <c r="N76">
        <v>1013</v>
      </c>
      <c r="O76" t="s">
        <v>287</v>
      </c>
      <c r="P76" t="s">
        <v>287</v>
      </c>
      <c r="Q76">
        <v>1</v>
      </c>
      <c r="W76">
        <v>0</v>
      </c>
      <c r="X76">
        <v>476480486</v>
      </c>
      <c r="Y76">
        <f>(AT76*3)</f>
        <v>4.26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1.42</v>
      </c>
      <c r="AU76" t="s">
        <v>254</v>
      </c>
      <c r="AV76">
        <v>1</v>
      </c>
      <c r="AW76">
        <v>2</v>
      </c>
      <c r="AX76">
        <v>80891717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U76">
        <f>ROUND(AT76*Source!I152*AH76*AL76,2)</f>
        <v>0</v>
      </c>
      <c r="CV76">
        <f>ROUND(Y76*Source!I152,9)</f>
        <v>978.70518000000004</v>
      </c>
      <c r="CW76">
        <v>0</v>
      </c>
      <c r="CX76">
        <f>ROUND(Y76*Source!I152,9)</f>
        <v>978.70518000000004</v>
      </c>
      <c r="CY76">
        <f>AD76</f>
        <v>0</v>
      </c>
      <c r="CZ76">
        <f>AH76</f>
        <v>0</v>
      </c>
      <c r="DA76">
        <f>AL76</f>
        <v>1</v>
      </c>
      <c r="DB76">
        <f>ROUND((ROUND(AT76*CZ76,2)*3),6)</f>
        <v>0</v>
      </c>
      <c r="DC76">
        <f>ROUND((ROUND(AT76*AG76,2)*3),6)</f>
        <v>0</v>
      </c>
      <c r="DD76" t="s">
        <v>3</v>
      </c>
      <c r="DE76" t="s">
        <v>3</v>
      </c>
      <c r="DF76">
        <f t="shared" si="14"/>
        <v>0</v>
      </c>
      <c r="DG76">
        <f t="shared" si="15"/>
        <v>0</v>
      </c>
      <c r="DH76">
        <f t="shared" si="16"/>
        <v>0</v>
      </c>
      <c r="DI76">
        <f t="shared" si="17"/>
        <v>0</v>
      </c>
      <c r="DJ76">
        <f>DI76</f>
        <v>0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5">
      <c r="A77">
        <f>ROW(Source!A153)</f>
        <v>153</v>
      </c>
      <c r="B77">
        <v>80889732</v>
      </c>
      <c r="C77">
        <v>80890841</v>
      </c>
      <c r="D77">
        <v>80199986</v>
      </c>
      <c r="E77">
        <v>15514512</v>
      </c>
      <c r="F77">
        <v>1</v>
      </c>
      <c r="G77">
        <v>15514512</v>
      </c>
      <c r="H77">
        <v>1</v>
      </c>
      <c r="I77" t="s">
        <v>285</v>
      </c>
      <c r="J77" t="s">
        <v>3</v>
      </c>
      <c r="K77" t="s">
        <v>286</v>
      </c>
      <c r="L77">
        <v>1191</v>
      </c>
      <c r="N77">
        <v>1013</v>
      </c>
      <c r="O77" t="s">
        <v>287</v>
      </c>
      <c r="P77" t="s">
        <v>287</v>
      </c>
      <c r="Q77">
        <v>1</v>
      </c>
      <c r="W77">
        <v>0</v>
      </c>
      <c r="X77">
        <v>476480486</v>
      </c>
      <c r="Y77">
        <f>(AT77*2)</f>
        <v>0.36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0.18</v>
      </c>
      <c r="AU77" t="s">
        <v>259</v>
      </c>
      <c r="AV77">
        <v>1</v>
      </c>
      <c r="AW77">
        <v>2</v>
      </c>
      <c r="AX77">
        <v>80890842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U77">
        <f>ROUND(AT77*Source!I153*AH77*AL77,2)</f>
        <v>0</v>
      </c>
      <c r="CV77">
        <f>ROUND(Y77*Source!I153,9)</f>
        <v>82.707480000000004</v>
      </c>
      <c r="CW77">
        <v>0</v>
      </c>
      <c r="CX77">
        <f>ROUND(Y77*Source!I153,9)</f>
        <v>82.707480000000004</v>
      </c>
      <c r="CY77">
        <f>AD77</f>
        <v>0</v>
      </c>
      <c r="CZ77">
        <f>AH77</f>
        <v>0</v>
      </c>
      <c r="DA77">
        <f>AL77</f>
        <v>1</v>
      </c>
      <c r="DB77">
        <f>ROUND((ROUND(AT77*CZ77,2)*2),6)</f>
        <v>0</v>
      </c>
      <c r="DC77">
        <f>ROUND((ROUND(AT77*AG77,2)*2),6)</f>
        <v>0</v>
      </c>
      <c r="DD77" t="s">
        <v>3</v>
      </c>
      <c r="DE77" t="s">
        <v>3</v>
      </c>
      <c r="DF77">
        <f t="shared" si="14"/>
        <v>0</v>
      </c>
      <c r="DG77">
        <f t="shared" si="15"/>
        <v>0</v>
      </c>
      <c r="DH77">
        <f t="shared" si="16"/>
        <v>0</v>
      </c>
      <c r="DI77">
        <f t="shared" si="17"/>
        <v>0</v>
      </c>
      <c r="DJ77">
        <f>DI77</f>
        <v>0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5">
      <c r="A78">
        <f>ROW(Source!A153)</f>
        <v>153</v>
      </c>
      <c r="B78">
        <v>80889732</v>
      </c>
      <c r="C78">
        <v>80890841</v>
      </c>
      <c r="D78">
        <v>80213250</v>
      </c>
      <c r="E78">
        <v>1</v>
      </c>
      <c r="F78">
        <v>1</v>
      </c>
      <c r="G78">
        <v>15514512</v>
      </c>
      <c r="H78">
        <v>2</v>
      </c>
      <c r="I78" t="s">
        <v>334</v>
      </c>
      <c r="J78" t="s">
        <v>335</v>
      </c>
      <c r="K78" t="s">
        <v>336</v>
      </c>
      <c r="L78">
        <v>1368</v>
      </c>
      <c r="N78">
        <v>1011</v>
      </c>
      <c r="O78" t="s">
        <v>284</v>
      </c>
      <c r="P78" t="s">
        <v>284</v>
      </c>
      <c r="Q78">
        <v>1</v>
      </c>
      <c r="W78">
        <v>0</v>
      </c>
      <c r="X78">
        <v>-1615921593</v>
      </c>
      <c r="Y78">
        <f>(AT78*2)</f>
        <v>0.18</v>
      </c>
      <c r="AA78">
        <v>0</v>
      </c>
      <c r="AB78">
        <v>218.95</v>
      </c>
      <c r="AC78">
        <v>0.48</v>
      </c>
      <c r="AD78">
        <v>0</v>
      </c>
      <c r="AE78">
        <v>0</v>
      </c>
      <c r="AF78">
        <v>218.95</v>
      </c>
      <c r="AG78">
        <v>0.48</v>
      </c>
      <c r="AH78">
        <v>0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0.09</v>
      </c>
      <c r="AU78" t="s">
        <v>259</v>
      </c>
      <c r="AV78">
        <v>0</v>
      </c>
      <c r="AW78">
        <v>2</v>
      </c>
      <c r="AX78">
        <v>80890843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f>ROUND(Y78*Source!I153*DO78,9)</f>
        <v>0</v>
      </c>
      <c r="CX78">
        <f>ROUND(Y78*Source!I153,9)</f>
        <v>41.353740000000002</v>
      </c>
      <c r="CY78">
        <f>AB78</f>
        <v>218.95</v>
      </c>
      <c r="CZ78">
        <f>AF78</f>
        <v>218.95</v>
      </c>
      <c r="DA78">
        <f>AJ78</f>
        <v>1</v>
      </c>
      <c r="DB78">
        <f>ROUND((ROUND(AT78*CZ78,2)*2),6)</f>
        <v>39.42</v>
      </c>
      <c r="DC78">
        <f>ROUND((ROUND(AT78*AG78,2)*2),6)</f>
        <v>0.08</v>
      </c>
      <c r="DD78" t="s">
        <v>3</v>
      </c>
      <c r="DE78" t="s">
        <v>3</v>
      </c>
      <c r="DF78">
        <f t="shared" si="14"/>
        <v>0</v>
      </c>
      <c r="DG78">
        <f t="shared" si="15"/>
        <v>9054.4</v>
      </c>
      <c r="DH78">
        <f t="shared" si="16"/>
        <v>19.850000000000001</v>
      </c>
      <c r="DI78">
        <f t="shared" si="17"/>
        <v>0</v>
      </c>
      <c r="DJ78">
        <f>DG78</f>
        <v>9054.4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5">
      <c r="A79">
        <f>ROW(Source!A153)</f>
        <v>153</v>
      </c>
      <c r="B79">
        <v>80889732</v>
      </c>
      <c r="C79">
        <v>80890841</v>
      </c>
      <c r="D79">
        <v>80215470</v>
      </c>
      <c r="E79">
        <v>1</v>
      </c>
      <c r="F79">
        <v>1</v>
      </c>
      <c r="G79">
        <v>15514512</v>
      </c>
      <c r="H79">
        <v>3</v>
      </c>
      <c r="I79" t="s">
        <v>37</v>
      </c>
      <c r="J79" t="s">
        <v>40</v>
      </c>
      <c r="K79" t="s">
        <v>38</v>
      </c>
      <c r="L79">
        <v>1339</v>
      </c>
      <c r="N79">
        <v>1007</v>
      </c>
      <c r="O79" t="s">
        <v>39</v>
      </c>
      <c r="P79" t="s">
        <v>39</v>
      </c>
      <c r="Q79">
        <v>1</v>
      </c>
      <c r="W79">
        <v>0</v>
      </c>
      <c r="X79">
        <v>2112060389</v>
      </c>
      <c r="Y79">
        <f>(AT79*2)</f>
        <v>0.02</v>
      </c>
      <c r="AA79">
        <v>54.81</v>
      </c>
      <c r="AB79">
        <v>0</v>
      </c>
      <c r="AC79">
        <v>0</v>
      </c>
      <c r="AD79">
        <v>0</v>
      </c>
      <c r="AE79">
        <v>54.81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0.01</v>
      </c>
      <c r="AU79" t="s">
        <v>259</v>
      </c>
      <c r="AV79">
        <v>0</v>
      </c>
      <c r="AW79">
        <v>2</v>
      </c>
      <c r="AX79">
        <v>80890844</v>
      </c>
      <c r="AY79">
        <v>1</v>
      </c>
      <c r="AZ79">
        <v>0</v>
      </c>
      <c r="BA79">
        <v>79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ROUND(Y79*Source!I153,9)</f>
        <v>4.5948599999999997</v>
      </c>
      <c r="CY79">
        <f>AA79</f>
        <v>54.81</v>
      </c>
      <c r="CZ79">
        <f>AE79</f>
        <v>54.81</v>
      </c>
      <c r="DA79">
        <f>AI79</f>
        <v>1</v>
      </c>
      <c r="DB79">
        <f>ROUND((ROUND(AT79*CZ79,2)*2),6)</f>
        <v>1.1000000000000001</v>
      </c>
      <c r="DC79">
        <f>ROUND((ROUND(AT79*AG79,2)*2),6)</f>
        <v>0</v>
      </c>
      <c r="DD79" t="s">
        <v>3</v>
      </c>
      <c r="DE79" t="s">
        <v>3</v>
      </c>
      <c r="DF79">
        <f t="shared" si="14"/>
        <v>251.84</v>
      </c>
      <c r="DG79">
        <f t="shared" si="15"/>
        <v>0</v>
      </c>
      <c r="DH79">
        <f t="shared" si="16"/>
        <v>0</v>
      </c>
      <c r="DI79">
        <f t="shared" si="17"/>
        <v>0</v>
      </c>
      <c r="DJ79">
        <f>DF79</f>
        <v>251.84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5">
      <c r="A80">
        <f>ROW(Source!A153)</f>
        <v>153</v>
      </c>
      <c r="B80">
        <v>80889732</v>
      </c>
      <c r="C80">
        <v>80890841</v>
      </c>
      <c r="D80">
        <v>80217221</v>
      </c>
      <c r="E80">
        <v>1</v>
      </c>
      <c r="F80">
        <v>1</v>
      </c>
      <c r="G80">
        <v>15514512</v>
      </c>
      <c r="H80">
        <v>3</v>
      </c>
      <c r="I80" t="s">
        <v>261</v>
      </c>
      <c r="J80" t="s">
        <v>264</v>
      </c>
      <c r="K80" t="s">
        <v>262</v>
      </c>
      <c r="L80">
        <v>1296</v>
      </c>
      <c r="N80">
        <v>1002</v>
      </c>
      <c r="O80" t="s">
        <v>263</v>
      </c>
      <c r="P80" t="s">
        <v>263</v>
      </c>
      <c r="Q80">
        <v>1</v>
      </c>
      <c r="W80">
        <v>0</v>
      </c>
      <c r="X80">
        <v>1267865924</v>
      </c>
      <c r="Y80">
        <f>(AT80*2)</f>
        <v>0.2</v>
      </c>
      <c r="AA80">
        <v>947.97</v>
      </c>
      <c r="AB80">
        <v>0</v>
      </c>
      <c r="AC80">
        <v>0</v>
      </c>
      <c r="AD80">
        <v>0</v>
      </c>
      <c r="AE80">
        <v>947.97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0</v>
      </c>
      <c r="AN80">
        <v>0</v>
      </c>
      <c r="AO80">
        <v>0</v>
      </c>
      <c r="AP80">
        <v>1</v>
      </c>
      <c r="AQ80">
        <v>0</v>
      </c>
      <c r="AR80">
        <v>0</v>
      </c>
      <c r="AS80" t="s">
        <v>3</v>
      </c>
      <c r="AT80">
        <v>0.1</v>
      </c>
      <c r="AU80" t="s">
        <v>259</v>
      </c>
      <c r="AV80">
        <v>0</v>
      </c>
      <c r="AW80">
        <v>1</v>
      </c>
      <c r="AX80">
        <v>-1</v>
      </c>
      <c r="AY80">
        <v>0</v>
      </c>
      <c r="AZ80">
        <v>0</v>
      </c>
      <c r="BA80" t="s">
        <v>3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ROUND(Y80*Source!I153,9)</f>
        <v>45.948599999999999</v>
      </c>
      <c r="CY80">
        <f>AA80</f>
        <v>947.97</v>
      </c>
      <c r="CZ80">
        <f>AE80</f>
        <v>947.97</v>
      </c>
      <c r="DA80">
        <f>AI80</f>
        <v>1</v>
      </c>
      <c r="DB80">
        <f>ROUND((ROUND(AT80*CZ80,2)*2),6)</f>
        <v>189.6</v>
      </c>
      <c r="DC80">
        <f>ROUND((ROUND(AT80*AG80,2)*2),6)</f>
        <v>0</v>
      </c>
      <c r="DD80" t="s">
        <v>3</v>
      </c>
      <c r="DE80" t="s">
        <v>3</v>
      </c>
      <c r="DF80">
        <f t="shared" si="14"/>
        <v>43557.89</v>
      </c>
      <c r="DG80">
        <f t="shared" si="15"/>
        <v>0</v>
      </c>
      <c r="DH80">
        <f t="shared" si="16"/>
        <v>0</v>
      </c>
      <c r="DI80">
        <f t="shared" si="17"/>
        <v>0</v>
      </c>
      <c r="DJ80">
        <f>DF80</f>
        <v>43557.89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5">
      <c r="A81">
        <f>ROW(Source!A155)</f>
        <v>155</v>
      </c>
      <c r="B81">
        <v>80889732</v>
      </c>
      <c r="C81">
        <v>80890873</v>
      </c>
      <c r="D81">
        <v>80199986</v>
      </c>
      <c r="E81">
        <v>15514512</v>
      </c>
      <c r="F81">
        <v>1</v>
      </c>
      <c r="G81">
        <v>15514512</v>
      </c>
      <c r="H81">
        <v>1</v>
      </c>
      <c r="I81" t="s">
        <v>285</v>
      </c>
      <c r="J81" t="s">
        <v>3</v>
      </c>
      <c r="K81" t="s">
        <v>286</v>
      </c>
      <c r="L81">
        <v>1191</v>
      </c>
      <c r="N81">
        <v>1013</v>
      </c>
      <c r="O81" t="s">
        <v>287</v>
      </c>
      <c r="P81" t="s">
        <v>287</v>
      </c>
      <c r="Q81">
        <v>1</v>
      </c>
      <c r="W81">
        <v>0</v>
      </c>
      <c r="X81">
        <v>476480486</v>
      </c>
      <c r="Y81">
        <f>(AT81*2)</f>
        <v>1.96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0.98</v>
      </c>
      <c r="AU81" t="s">
        <v>259</v>
      </c>
      <c r="AV81">
        <v>1</v>
      </c>
      <c r="AW81">
        <v>2</v>
      </c>
      <c r="AX81">
        <v>80890875</v>
      </c>
      <c r="AY81">
        <v>1</v>
      </c>
      <c r="AZ81">
        <v>0</v>
      </c>
      <c r="BA81">
        <v>81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U81">
        <f>ROUND(AT81*Source!I155*AH81*AL81,2)</f>
        <v>0</v>
      </c>
      <c r="CV81">
        <f>ROUND(Y81*Source!I155,9)</f>
        <v>613.48</v>
      </c>
      <c r="CW81">
        <v>0</v>
      </c>
      <c r="CX81">
        <f>ROUND(Y81*Source!I155,9)</f>
        <v>613.48</v>
      </c>
      <c r="CY81">
        <f>AD81</f>
        <v>0</v>
      </c>
      <c r="CZ81">
        <f>AH81</f>
        <v>0</v>
      </c>
      <c r="DA81">
        <f>AL81</f>
        <v>1</v>
      </c>
      <c r="DB81">
        <f>ROUND((ROUND(AT81*CZ81,2)*2),6)</f>
        <v>0</v>
      </c>
      <c r="DC81">
        <f>ROUND((ROUND(AT81*AG81,2)*2),6)</f>
        <v>0</v>
      </c>
      <c r="DD81" t="s">
        <v>3</v>
      </c>
      <c r="DE81" t="s">
        <v>3</v>
      </c>
      <c r="DF81">
        <f t="shared" si="14"/>
        <v>0</v>
      </c>
      <c r="DG81">
        <f t="shared" si="15"/>
        <v>0</v>
      </c>
      <c r="DH81">
        <f t="shared" si="16"/>
        <v>0</v>
      </c>
      <c r="DI81">
        <f t="shared" si="17"/>
        <v>0</v>
      </c>
      <c r="DJ81">
        <f>DI81</f>
        <v>0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5">
      <c r="A82">
        <f>ROW(Source!A156)</f>
        <v>156</v>
      </c>
      <c r="B82">
        <v>80889732</v>
      </c>
      <c r="C82">
        <v>80890876</v>
      </c>
      <c r="D82">
        <v>80199986</v>
      </c>
      <c r="E82">
        <v>15514512</v>
      </c>
      <c r="F82">
        <v>1</v>
      </c>
      <c r="G82">
        <v>15514512</v>
      </c>
      <c r="H82">
        <v>1</v>
      </c>
      <c r="I82" t="s">
        <v>285</v>
      </c>
      <c r="J82" t="s">
        <v>3</v>
      </c>
      <c r="K82" t="s">
        <v>286</v>
      </c>
      <c r="L82">
        <v>1191</v>
      </c>
      <c r="N82">
        <v>1013</v>
      </c>
      <c r="O82" t="s">
        <v>287</v>
      </c>
      <c r="P82" t="s">
        <v>287</v>
      </c>
      <c r="Q82">
        <v>1</v>
      </c>
      <c r="W82">
        <v>0</v>
      </c>
      <c r="X82">
        <v>476480486</v>
      </c>
      <c r="Y82">
        <f>(AT82*28)</f>
        <v>15.680000000000001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0.56000000000000005</v>
      </c>
      <c r="AU82" t="s">
        <v>181</v>
      </c>
      <c r="AV82">
        <v>1</v>
      </c>
      <c r="AW82">
        <v>2</v>
      </c>
      <c r="AX82">
        <v>80890880</v>
      </c>
      <c r="AY82">
        <v>1</v>
      </c>
      <c r="AZ82">
        <v>2048</v>
      </c>
      <c r="BA82">
        <v>82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U82">
        <f>ROUND(AT82*Source!I156*AH82*AL82,2)</f>
        <v>0</v>
      </c>
      <c r="CV82">
        <f>ROUND(Y82*Source!I156,9)</f>
        <v>441.7056</v>
      </c>
      <c r="CW82">
        <v>0</v>
      </c>
      <c r="CX82">
        <f>ROUND(Y82*Source!I156,9)</f>
        <v>441.7056</v>
      </c>
      <c r="CY82">
        <f>AD82</f>
        <v>0</v>
      </c>
      <c r="CZ82">
        <f>AH82</f>
        <v>0</v>
      </c>
      <c r="DA82">
        <f>AL82</f>
        <v>1</v>
      </c>
      <c r="DB82">
        <f>ROUND((ROUND(AT82*CZ82,2)*28),6)</f>
        <v>0</v>
      </c>
      <c r="DC82">
        <f>ROUND((ROUND(AT82*AG82,2)*28),6)</f>
        <v>0</v>
      </c>
      <c r="DD82" t="s">
        <v>3</v>
      </c>
      <c r="DE82" t="s">
        <v>3</v>
      </c>
      <c r="DF82">
        <f t="shared" si="14"/>
        <v>0</v>
      </c>
      <c r="DG82">
        <f t="shared" si="15"/>
        <v>0</v>
      </c>
      <c r="DH82">
        <f t="shared" si="16"/>
        <v>0</v>
      </c>
      <c r="DI82">
        <f t="shared" si="17"/>
        <v>0</v>
      </c>
      <c r="DJ82">
        <f>DI82</f>
        <v>0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5">
      <c r="A83">
        <f>ROW(Source!A156)</f>
        <v>156</v>
      </c>
      <c r="B83">
        <v>80889732</v>
      </c>
      <c r="C83">
        <v>80890876</v>
      </c>
      <c r="D83">
        <v>80212805</v>
      </c>
      <c r="E83">
        <v>1</v>
      </c>
      <c r="F83">
        <v>1</v>
      </c>
      <c r="G83">
        <v>15514512</v>
      </c>
      <c r="H83">
        <v>2</v>
      </c>
      <c r="I83" t="s">
        <v>331</v>
      </c>
      <c r="J83" t="s">
        <v>332</v>
      </c>
      <c r="K83" t="s">
        <v>333</v>
      </c>
      <c r="L83">
        <v>1368</v>
      </c>
      <c r="N83">
        <v>1011</v>
      </c>
      <c r="O83" t="s">
        <v>284</v>
      </c>
      <c r="P83" t="s">
        <v>284</v>
      </c>
      <c r="Q83">
        <v>1</v>
      </c>
      <c r="W83">
        <v>0</v>
      </c>
      <c r="X83">
        <v>-1652508930</v>
      </c>
      <c r="Y83">
        <f>(AT83*28)</f>
        <v>8.4</v>
      </c>
      <c r="AA83">
        <v>0</v>
      </c>
      <c r="AB83">
        <v>2997.56</v>
      </c>
      <c r="AC83">
        <v>1034.8599999999999</v>
      </c>
      <c r="AD83">
        <v>0</v>
      </c>
      <c r="AE83">
        <v>0</v>
      </c>
      <c r="AF83">
        <v>2997.56</v>
      </c>
      <c r="AG83">
        <v>1034.8599999999999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0.3</v>
      </c>
      <c r="AU83" t="s">
        <v>181</v>
      </c>
      <c r="AV83">
        <v>0</v>
      </c>
      <c r="AW83">
        <v>2</v>
      </c>
      <c r="AX83">
        <v>80890881</v>
      </c>
      <c r="AY83">
        <v>1</v>
      </c>
      <c r="AZ83">
        <v>0</v>
      </c>
      <c r="BA83">
        <v>83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f>ROUND(Y83*Source!I156*DO83,9)</f>
        <v>0</v>
      </c>
      <c r="CX83">
        <f>ROUND(Y83*Source!I156,9)</f>
        <v>236.62799999999999</v>
      </c>
      <c r="CY83">
        <f>AB83</f>
        <v>2997.56</v>
      </c>
      <c r="CZ83">
        <f>AF83</f>
        <v>2997.56</v>
      </c>
      <c r="DA83">
        <f>AJ83</f>
        <v>1</v>
      </c>
      <c r="DB83">
        <f>ROUND((ROUND(AT83*CZ83,2)*28),6)</f>
        <v>25179.56</v>
      </c>
      <c r="DC83">
        <f>ROUND((ROUND(AT83*AG83,2)*28),6)</f>
        <v>8692.8799999999992</v>
      </c>
      <c r="DD83" t="s">
        <v>3</v>
      </c>
      <c r="DE83" t="s">
        <v>3</v>
      </c>
      <c r="DF83">
        <f t="shared" si="14"/>
        <v>0</v>
      </c>
      <c r="DG83">
        <f t="shared" si="15"/>
        <v>709306.63</v>
      </c>
      <c r="DH83">
        <f t="shared" si="16"/>
        <v>244876.85</v>
      </c>
      <c r="DI83">
        <f t="shared" si="17"/>
        <v>0</v>
      </c>
      <c r="DJ83">
        <f>DG83</f>
        <v>709306.63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5">
      <c r="A84">
        <f>ROW(Source!A156)</f>
        <v>156</v>
      </c>
      <c r="B84">
        <v>80889732</v>
      </c>
      <c r="C84">
        <v>80890876</v>
      </c>
      <c r="D84">
        <v>80215470</v>
      </c>
      <c r="E84">
        <v>1</v>
      </c>
      <c r="F84">
        <v>1</v>
      </c>
      <c r="G84">
        <v>15514512</v>
      </c>
      <c r="H84">
        <v>3</v>
      </c>
      <c r="I84" t="s">
        <v>37</v>
      </c>
      <c r="J84" t="s">
        <v>40</v>
      </c>
      <c r="K84" t="s">
        <v>38</v>
      </c>
      <c r="L84">
        <v>1339</v>
      </c>
      <c r="N84">
        <v>1007</v>
      </c>
      <c r="O84" t="s">
        <v>39</v>
      </c>
      <c r="P84" t="s">
        <v>39</v>
      </c>
      <c r="Q84">
        <v>1</v>
      </c>
      <c r="W84">
        <v>1</v>
      </c>
      <c r="X84">
        <v>2112060389</v>
      </c>
      <c r="Y84">
        <f>(AT84*28)</f>
        <v>-28</v>
      </c>
      <c r="AA84">
        <v>54.81</v>
      </c>
      <c r="AB84">
        <v>0</v>
      </c>
      <c r="AC84">
        <v>0</v>
      </c>
      <c r="AD84">
        <v>0</v>
      </c>
      <c r="AE84">
        <v>54.81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-1</v>
      </c>
      <c r="AU84" t="s">
        <v>181</v>
      </c>
      <c r="AV84">
        <v>0</v>
      </c>
      <c r="AW84">
        <v>2</v>
      </c>
      <c r="AX84">
        <v>80890882</v>
      </c>
      <c r="AY84">
        <v>1</v>
      </c>
      <c r="AZ84">
        <v>6144</v>
      </c>
      <c r="BA84">
        <v>84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v>0</v>
      </c>
      <c r="CX84">
        <f>ROUND(Y84*Source!I156,9)</f>
        <v>-788.76</v>
      </c>
      <c r="CY84">
        <f>AA84</f>
        <v>54.81</v>
      </c>
      <c r="CZ84">
        <f>AE84</f>
        <v>54.81</v>
      </c>
      <c r="DA84">
        <f>AI84</f>
        <v>1</v>
      </c>
      <c r="DB84">
        <f>ROUND((ROUND(AT84*CZ84,2)*28),6)</f>
        <v>-1534.68</v>
      </c>
      <c r="DC84">
        <f>ROUND((ROUND(AT84*AG84,2)*28),6)</f>
        <v>0</v>
      </c>
      <c r="DD84" t="s">
        <v>3</v>
      </c>
      <c r="DE84" t="s">
        <v>3</v>
      </c>
      <c r="DF84">
        <f t="shared" si="14"/>
        <v>-43231.94</v>
      </c>
      <c r="DG84">
        <f t="shared" si="15"/>
        <v>0</v>
      </c>
      <c r="DH84">
        <f t="shared" si="16"/>
        <v>0</v>
      </c>
      <c r="DI84">
        <f t="shared" si="17"/>
        <v>0</v>
      </c>
      <c r="DJ84">
        <f>DF84</f>
        <v>-43231.94</v>
      </c>
      <c r="DK84">
        <v>0</v>
      </c>
      <c r="DL84" t="s">
        <v>3</v>
      </c>
      <c r="DM84">
        <v>0</v>
      </c>
      <c r="DN84" t="s">
        <v>3</v>
      </c>
      <c r="DO8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10B94-72D5-4986-AA59-D9E2059FB0DB}">
  <dimension ref="A1:AR84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44" x14ac:dyDescent="0.25">
      <c r="A1">
        <f>ROW(Source!A32)</f>
        <v>32</v>
      </c>
      <c r="B1">
        <v>80890112</v>
      </c>
      <c r="C1">
        <v>80889919</v>
      </c>
      <c r="D1">
        <v>80213220</v>
      </c>
      <c r="E1">
        <v>1</v>
      </c>
      <c r="F1">
        <v>1</v>
      </c>
      <c r="G1">
        <v>15514512</v>
      </c>
      <c r="H1">
        <v>2</v>
      </c>
      <c r="I1" t="s">
        <v>281</v>
      </c>
      <c r="J1" t="s">
        <v>282</v>
      </c>
      <c r="K1" t="s">
        <v>283</v>
      </c>
      <c r="L1">
        <v>1368</v>
      </c>
      <c r="N1">
        <v>1011</v>
      </c>
      <c r="O1" t="s">
        <v>284</v>
      </c>
      <c r="P1" t="s">
        <v>284</v>
      </c>
      <c r="Q1">
        <v>1</v>
      </c>
      <c r="X1">
        <v>0.5</v>
      </c>
      <c r="Y1">
        <v>0</v>
      </c>
      <c r="Z1">
        <v>2515.98</v>
      </c>
      <c r="AA1">
        <v>872.98</v>
      </c>
      <c r="AB1">
        <v>0</v>
      </c>
      <c r="AC1">
        <v>0</v>
      </c>
      <c r="AD1">
        <v>1</v>
      </c>
      <c r="AE1">
        <v>0</v>
      </c>
      <c r="AF1" t="s">
        <v>22</v>
      </c>
      <c r="AG1">
        <v>27.5</v>
      </c>
      <c r="AH1">
        <v>2</v>
      </c>
      <c r="AI1">
        <v>80890112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5">
      <c r="A2">
        <f>ROW(Source!A33)</f>
        <v>33</v>
      </c>
      <c r="B2">
        <v>80890113</v>
      </c>
      <c r="C2">
        <v>80889920</v>
      </c>
      <c r="D2">
        <v>80199986</v>
      </c>
      <c r="E2">
        <v>15514512</v>
      </c>
      <c r="F2">
        <v>1</v>
      </c>
      <c r="G2">
        <v>15514512</v>
      </c>
      <c r="H2">
        <v>1</v>
      </c>
      <c r="I2" t="s">
        <v>285</v>
      </c>
      <c r="J2" t="s">
        <v>3</v>
      </c>
      <c r="K2" t="s">
        <v>286</v>
      </c>
      <c r="L2">
        <v>1191</v>
      </c>
      <c r="N2">
        <v>1013</v>
      </c>
      <c r="O2" t="s">
        <v>287</v>
      </c>
      <c r="P2" t="s">
        <v>287</v>
      </c>
      <c r="Q2">
        <v>1</v>
      </c>
      <c r="X2">
        <v>0.65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22</v>
      </c>
      <c r="AG2">
        <v>35.75</v>
      </c>
      <c r="AH2">
        <v>2</v>
      </c>
      <c r="AI2">
        <v>80890113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5">
      <c r="A3">
        <f>ROW(Source!A34)</f>
        <v>34</v>
      </c>
      <c r="B3">
        <v>80890114</v>
      </c>
      <c r="C3">
        <v>80889921</v>
      </c>
      <c r="D3">
        <v>80213221</v>
      </c>
      <c r="E3">
        <v>1</v>
      </c>
      <c r="F3">
        <v>1</v>
      </c>
      <c r="G3">
        <v>15514512</v>
      </c>
      <c r="H3">
        <v>2</v>
      </c>
      <c r="I3" t="s">
        <v>288</v>
      </c>
      <c r="J3" t="s">
        <v>289</v>
      </c>
      <c r="K3" t="s">
        <v>290</v>
      </c>
      <c r="L3">
        <v>1368</v>
      </c>
      <c r="N3">
        <v>1011</v>
      </c>
      <c r="O3" t="s">
        <v>284</v>
      </c>
      <c r="P3" t="s">
        <v>284</v>
      </c>
      <c r="Q3">
        <v>1</v>
      </c>
      <c r="X3">
        <v>0.26</v>
      </c>
      <c r="Y3">
        <v>0</v>
      </c>
      <c r="Z3">
        <v>1783.28</v>
      </c>
      <c r="AA3">
        <v>842.87</v>
      </c>
      <c r="AB3">
        <v>0</v>
      </c>
      <c r="AC3">
        <v>0</v>
      </c>
      <c r="AD3">
        <v>1</v>
      </c>
      <c r="AE3">
        <v>0</v>
      </c>
      <c r="AF3" t="s">
        <v>35</v>
      </c>
      <c r="AG3">
        <v>28.86</v>
      </c>
      <c r="AH3">
        <v>2</v>
      </c>
      <c r="AI3">
        <v>80890114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5">
      <c r="A4">
        <f>ROW(Source!A34)</f>
        <v>34</v>
      </c>
      <c r="B4">
        <v>80890115</v>
      </c>
      <c r="C4">
        <v>80889921</v>
      </c>
      <c r="D4">
        <v>80215470</v>
      </c>
      <c r="E4">
        <v>1</v>
      </c>
      <c r="F4">
        <v>1</v>
      </c>
      <c r="G4">
        <v>15514512</v>
      </c>
      <c r="H4">
        <v>3</v>
      </c>
      <c r="I4" t="s">
        <v>37</v>
      </c>
      <c r="J4" t="s">
        <v>40</v>
      </c>
      <c r="K4" t="s">
        <v>38</v>
      </c>
      <c r="L4">
        <v>1339</v>
      </c>
      <c r="N4">
        <v>1007</v>
      </c>
      <c r="O4" t="s">
        <v>39</v>
      </c>
      <c r="P4" t="s">
        <v>39</v>
      </c>
      <c r="Q4">
        <v>1</v>
      </c>
      <c r="X4">
        <v>0.2</v>
      </c>
      <c r="Y4">
        <v>54.81</v>
      </c>
      <c r="Z4">
        <v>0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35</v>
      </c>
      <c r="AG4">
        <v>22.200000000000003</v>
      </c>
      <c r="AH4">
        <v>2</v>
      </c>
      <c r="AI4">
        <v>80890115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5">
      <c r="A5">
        <f>ROW(Source!A36)</f>
        <v>36</v>
      </c>
      <c r="B5">
        <v>80890121</v>
      </c>
      <c r="C5">
        <v>80889922</v>
      </c>
      <c r="D5">
        <v>80199986</v>
      </c>
      <c r="E5">
        <v>15514512</v>
      </c>
      <c r="F5">
        <v>1</v>
      </c>
      <c r="G5">
        <v>15514512</v>
      </c>
      <c r="H5">
        <v>1</v>
      </c>
      <c r="I5" t="s">
        <v>285</v>
      </c>
      <c r="J5" t="s">
        <v>3</v>
      </c>
      <c r="K5" t="s">
        <v>286</v>
      </c>
      <c r="L5">
        <v>1191</v>
      </c>
      <c r="N5">
        <v>1013</v>
      </c>
      <c r="O5" t="s">
        <v>287</v>
      </c>
      <c r="P5" t="s">
        <v>287</v>
      </c>
      <c r="Q5">
        <v>1</v>
      </c>
      <c r="X5">
        <v>0.14000000000000001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35</v>
      </c>
      <c r="AG5">
        <v>15.540000000000001</v>
      </c>
      <c r="AH5">
        <v>2</v>
      </c>
      <c r="AI5">
        <v>80890121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5">
      <c r="A6">
        <f>ROW(Source!A37)</f>
        <v>37</v>
      </c>
      <c r="B6">
        <v>80890119</v>
      </c>
      <c r="C6">
        <v>80889923</v>
      </c>
      <c r="D6">
        <v>80199986</v>
      </c>
      <c r="E6">
        <v>15514512</v>
      </c>
      <c r="F6">
        <v>1</v>
      </c>
      <c r="G6">
        <v>15514512</v>
      </c>
      <c r="H6">
        <v>1</v>
      </c>
      <c r="I6" t="s">
        <v>285</v>
      </c>
      <c r="J6" t="s">
        <v>3</v>
      </c>
      <c r="K6" t="s">
        <v>286</v>
      </c>
      <c r="L6">
        <v>1191</v>
      </c>
      <c r="N6">
        <v>1013</v>
      </c>
      <c r="O6" t="s">
        <v>287</v>
      </c>
      <c r="P6" t="s">
        <v>287</v>
      </c>
      <c r="Q6">
        <v>1</v>
      </c>
      <c r="X6">
        <v>0.24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22</v>
      </c>
      <c r="AG6">
        <v>13.2</v>
      </c>
      <c r="AH6">
        <v>2</v>
      </c>
      <c r="AI6">
        <v>80890119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5">
      <c r="A7">
        <f>ROW(Source!A38)</f>
        <v>38</v>
      </c>
      <c r="B7">
        <v>80890118</v>
      </c>
      <c r="C7">
        <v>80889924</v>
      </c>
      <c r="D7">
        <v>80199986</v>
      </c>
      <c r="E7">
        <v>15514512</v>
      </c>
      <c r="F7">
        <v>1</v>
      </c>
      <c r="G7">
        <v>15514512</v>
      </c>
      <c r="H7">
        <v>1</v>
      </c>
      <c r="I7" t="s">
        <v>285</v>
      </c>
      <c r="J7" t="s">
        <v>3</v>
      </c>
      <c r="K7" t="s">
        <v>286</v>
      </c>
      <c r="L7">
        <v>1191</v>
      </c>
      <c r="N7">
        <v>1013</v>
      </c>
      <c r="O7" t="s">
        <v>287</v>
      </c>
      <c r="P7" t="s">
        <v>287</v>
      </c>
      <c r="Q7">
        <v>1</v>
      </c>
      <c r="X7">
        <v>1.03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22</v>
      </c>
      <c r="AG7">
        <v>56.65</v>
      </c>
      <c r="AH7">
        <v>2</v>
      </c>
      <c r="AI7">
        <v>80890118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5">
      <c r="A8">
        <f>ROW(Source!A39)</f>
        <v>39</v>
      </c>
      <c r="B8">
        <v>80890122</v>
      </c>
      <c r="C8">
        <v>80889925</v>
      </c>
      <c r="D8">
        <v>80199986</v>
      </c>
      <c r="E8">
        <v>15514512</v>
      </c>
      <c r="F8">
        <v>1</v>
      </c>
      <c r="G8">
        <v>15514512</v>
      </c>
      <c r="H8">
        <v>1</v>
      </c>
      <c r="I8" t="s">
        <v>285</v>
      </c>
      <c r="J8" t="s">
        <v>3</v>
      </c>
      <c r="K8" t="s">
        <v>286</v>
      </c>
      <c r="L8">
        <v>1191</v>
      </c>
      <c r="N8">
        <v>1013</v>
      </c>
      <c r="O8" t="s">
        <v>287</v>
      </c>
      <c r="P8" t="s">
        <v>287</v>
      </c>
      <c r="Q8">
        <v>1</v>
      </c>
      <c r="X8">
        <v>3.81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22</v>
      </c>
      <c r="AG8">
        <v>209.55</v>
      </c>
      <c r="AH8">
        <v>2</v>
      </c>
      <c r="AI8">
        <v>80890122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5">
      <c r="A9">
        <f>ROW(Source!A40)</f>
        <v>40</v>
      </c>
      <c r="B9">
        <v>80890123</v>
      </c>
      <c r="C9">
        <v>80889926</v>
      </c>
      <c r="D9">
        <v>80199986</v>
      </c>
      <c r="E9">
        <v>15514512</v>
      </c>
      <c r="F9">
        <v>1</v>
      </c>
      <c r="G9">
        <v>15514512</v>
      </c>
      <c r="H9">
        <v>1</v>
      </c>
      <c r="I9" t="s">
        <v>285</v>
      </c>
      <c r="J9" t="s">
        <v>3</v>
      </c>
      <c r="K9" t="s">
        <v>286</v>
      </c>
      <c r="L9">
        <v>1191</v>
      </c>
      <c r="N9">
        <v>1013</v>
      </c>
      <c r="O9" t="s">
        <v>287</v>
      </c>
      <c r="P9" t="s">
        <v>287</v>
      </c>
      <c r="Q9">
        <v>1</v>
      </c>
      <c r="X9">
        <v>0.3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63</v>
      </c>
      <c r="AG9">
        <v>15</v>
      </c>
      <c r="AH9">
        <v>2</v>
      </c>
      <c r="AI9">
        <v>80890123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5">
      <c r="A10">
        <f>ROW(Source!A40)</f>
        <v>40</v>
      </c>
      <c r="B10">
        <v>80890124</v>
      </c>
      <c r="C10">
        <v>80889926</v>
      </c>
      <c r="D10">
        <v>80216195</v>
      </c>
      <c r="E10">
        <v>1</v>
      </c>
      <c r="F10">
        <v>1</v>
      </c>
      <c r="G10">
        <v>15514512</v>
      </c>
      <c r="H10">
        <v>3</v>
      </c>
      <c r="I10" t="s">
        <v>291</v>
      </c>
      <c r="J10" t="s">
        <v>292</v>
      </c>
      <c r="K10" t="s">
        <v>293</v>
      </c>
      <c r="L10">
        <v>1346</v>
      </c>
      <c r="N10">
        <v>1009</v>
      </c>
      <c r="O10" t="s">
        <v>234</v>
      </c>
      <c r="P10" t="s">
        <v>234</v>
      </c>
      <c r="Q10">
        <v>1</v>
      </c>
      <c r="X10">
        <v>5</v>
      </c>
      <c r="Y10">
        <v>27.3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63</v>
      </c>
      <c r="AG10">
        <v>250</v>
      </c>
      <c r="AH10">
        <v>2</v>
      </c>
      <c r="AI10">
        <v>80890124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5">
      <c r="A11">
        <f>ROW(Source!A41)</f>
        <v>41</v>
      </c>
      <c r="B11">
        <v>80890125</v>
      </c>
      <c r="C11">
        <v>80889927</v>
      </c>
      <c r="D11">
        <v>80199986</v>
      </c>
      <c r="E11">
        <v>15514512</v>
      </c>
      <c r="F11">
        <v>1</v>
      </c>
      <c r="G11">
        <v>15514512</v>
      </c>
      <c r="H11">
        <v>1</v>
      </c>
      <c r="I11" t="s">
        <v>285</v>
      </c>
      <c r="J11" t="s">
        <v>3</v>
      </c>
      <c r="K11" t="s">
        <v>286</v>
      </c>
      <c r="L11">
        <v>1191</v>
      </c>
      <c r="N11">
        <v>1013</v>
      </c>
      <c r="O11" t="s">
        <v>287</v>
      </c>
      <c r="P11" t="s">
        <v>287</v>
      </c>
      <c r="Q11">
        <v>1</v>
      </c>
      <c r="X11">
        <v>0.02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63</v>
      </c>
      <c r="AG11">
        <v>1</v>
      </c>
      <c r="AH11">
        <v>2</v>
      </c>
      <c r="AI11">
        <v>80890125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5">
      <c r="A12">
        <f>ROW(Source!A41)</f>
        <v>41</v>
      </c>
      <c r="B12">
        <v>80890126</v>
      </c>
      <c r="C12">
        <v>80889927</v>
      </c>
      <c r="D12">
        <v>80213219</v>
      </c>
      <c r="E12">
        <v>1</v>
      </c>
      <c r="F12">
        <v>1</v>
      </c>
      <c r="G12">
        <v>15514512</v>
      </c>
      <c r="H12">
        <v>2</v>
      </c>
      <c r="I12" t="s">
        <v>294</v>
      </c>
      <c r="J12" t="s">
        <v>295</v>
      </c>
      <c r="K12" t="s">
        <v>296</v>
      </c>
      <c r="L12">
        <v>1368</v>
      </c>
      <c r="N12">
        <v>1011</v>
      </c>
      <c r="O12" t="s">
        <v>284</v>
      </c>
      <c r="P12" t="s">
        <v>284</v>
      </c>
      <c r="Q12">
        <v>1</v>
      </c>
      <c r="X12">
        <v>0.08</v>
      </c>
      <c r="Y12">
        <v>0</v>
      </c>
      <c r="Z12">
        <v>1988.28</v>
      </c>
      <c r="AA12">
        <v>838.86</v>
      </c>
      <c r="AB12">
        <v>0</v>
      </c>
      <c r="AC12">
        <v>0</v>
      </c>
      <c r="AD12">
        <v>1</v>
      </c>
      <c r="AE12">
        <v>0</v>
      </c>
      <c r="AF12" t="s">
        <v>63</v>
      </c>
      <c r="AG12">
        <v>4</v>
      </c>
      <c r="AH12">
        <v>2</v>
      </c>
      <c r="AI12">
        <v>80890126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5">
      <c r="A13">
        <f>ROW(Source!A41)</f>
        <v>41</v>
      </c>
      <c r="B13">
        <v>80890127</v>
      </c>
      <c r="C13">
        <v>80889927</v>
      </c>
      <c r="D13">
        <v>80216195</v>
      </c>
      <c r="E13">
        <v>1</v>
      </c>
      <c r="F13">
        <v>1</v>
      </c>
      <c r="G13">
        <v>15514512</v>
      </c>
      <c r="H13">
        <v>3</v>
      </c>
      <c r="I13" t="s">
        <v>291</v>
      </c>
      <c r="J13" t="s">
        <v>292</v>
      </c>
      <c r="K13" t="s">
        <v>293</v>
      </c>
      <c r="L13">
        <v>1346</v>
      </c>
      <c r="N13">
        <v>1009</v>
      </c>
      <c r="O13" t="s">
        <v>234</v>
      </c>
      <c r="P13" t="s">
        <v>234</v>
      </c>
      <c r="Q13">
        <v>1</v>
      </c>
      <c r="X13">
        <v>50</v>
      </c>
      <c r="Y13">
        <v>27.3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63</v>
      </c>
      <c r="AG13">
        <v>2500</v>
      </c>
      <c r="AH13">
        <v>2</v>
      </c>
      <c r="AI13">
        <v>80890127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5">
      <c r="A14">
        <f>ROW(Source!A42)</f>
        <v>42</v>
      </c>
      <c r="B14">
        <v>80890128</v>
      </c>
      <c r="C14">
        <v>80889928</v>
      </c>
      <c r="D14">
        <v>80199986</v>
      </c>
      <c r="E14">
        <v>15514512</v>
      </c>
      <c r="F14">
        <v>1</v>
      </c>
      <c r="G14">
        <v>15514512</v>
      </c>
      <c r="H14">
        <v>1</v>
      </c>
      <c r="I14" t="s">
        <v>285</v>
      </c>
      <c r="J14" t="s">
        <v>3</v>
      </c>
      <c r="K14" t="s">
        <v>286</v>
      </c>
      <c r="L14">
        <v>1191</v>
      </c>
      <c r="N14">
        <v>1013</v>
      </c>
      <c r="O14" t="s">
        <v>287</v>
      </c>
      <c r="P14" t="s">
        <v>287</v>
      </c>
      <c r="Q14">
        <v>1</v>
      </c>
      <c r="X14">
        <v>2.41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72</v>
      </c>
      <c r="AG14">
        <v>48.2</v>
      </c>
      <c r="AH14">
        <v>2</v>
      </c>
      <c r="AI14">
        <v>80890128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5">
      <c r="A15">
        <f>ROW(Source!A43)</f>
        <v>43</v>
      </c>
      <c r="B15">
        <v>80890129</v>
      </c>
      <c r="C15">
        <v>80889929</v>
      </c>
      <c r="D15">
        <v>80199986</v>
      </c>
      <c r="E15">
        <v>15514512</v>
      </c>
      <c r="F15">
        <v>1</v>
      </c>
      <c r="G15">
        <v>15514512</v>
      </c>
      <c r="H15">
        <v>1</v>
      </c>
      <c r="I15" t="s">
        <v>285</v>
      </c>
      <c r="J15" t="s">
        <v>3</v>
      </c>
      <c r="K15" t="s">
        <v>286</v>
      </c>
      <c r="L15">
        <v>1191</v>
      </c>
      <c r="N15">
        <v>1013</v>
      </c>
      <c r="O15" t="s">
        <v>287</v>
      </c>
      <c r="P15" t="s">
        <v>287</v>
      </c>
      <c r="Q15">
        <v>1</v>
      </c>
      <c r="X15">
        <v>0.37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3</v>
      </c>
      <c r="AG15">
        <v>0.37</v>
      </c>
      <c r="AH15">
        <v>2</v>
      </c>
      <c r="AI15">
        <v>80890129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5">
      <c r="A16">
        <f>ROW(Source!A43)</f>
        <v>43</v>
      </c>
      <c r="B16">
        <v>80890130</v>
      </c>
      <c r="C16">
        <v>80889929</v>
      </c>
      <c r="D16">
        <v>80212784</v>
      </c>
      <c r="E16">
        <v>1</v>
      </c>
      <c r="F16">
        <v>1</v>
      </c>
      <c r="G16">
        <v>15514512</v>
      </c>
      <c r="H16">
        <v>2</v>
      </c>
      <c r="I16" t="s">
        <v>297</v>
      </c>
      <c r="J16" t="s">
        <v>298</v>
      </c>
      <c r="K16" t="s">
        <v>299</v>
      </c>
      <c r="L16">
        <v>1368</v>
      </c>
      <c r="N16">
        <v>1011</v>
      </c>
      <c r="O16" t="s">
        <v>284</v>
      </c>
      <c r="P16" t="s">
        <v>284</v>
      </c>
      <c r="Q16">
        <v>1</v>
      </c>
      <c r="X16">
        <v>0.34</v>
      </c>
      <c r="Y16">
        <v>0</v>
      </c>
      <c r="Z16">
        <v>2097.0700000000002</v>
      </c>
      <c r="AA16">
        <v>1028.7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0.34</v>
      </c>
      <c r="AH16">
        <v>2</v>
      </c>
      <c r="AI16">
        <v>80890130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5">
      <c r="A17">
        <f>ROW(Source!A44)</f>
        <v>44</v>
      </c>
      <c r="B17">
        <v>80890131</v>
      </c>
      <c r="C17">
        <v>80889930</v>
      </c>
      <c r="D17">
        <v>80212784</v>
      </c>
      <c r="E17">
        <v>1</v>
      </c>
      <c r="F17">
        <v>1</v>
      </c>
      <c r="G17">
        <v>15514512</v>
      </c>
      <c r="H17">
        <v>2</v>
      </c>
      <c r="I17" t="s">
        <v>297</v>
      </c>
      <c r="J17" t="s">
        <v>298</v>
      </c>
      <c r="K17" t="s">
        <v>299</v>
      </c>
      <c r="L17">
        <v>1368</v>
      </c>
      <c r="N17">
        <v>1011</v>
      </c>
      <c r="O17" t="s">
        <v>284</v>
      </c>
      <c r="P17" t="s">
        <v>284</v>
      </c>
      <c r="Q17">
        <v>1</v>
      </c>
      <c r="X17">
        <v>0.09</v>
      </c>
      <c r="Y17">
        <v>0</v>
      </c>
      <c r="Z17">
        <v>2097.0700000000002</v>
      </c>
      <c r="AA17">
        <v>1028.7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0.09</v>
      </c>
      <c r="AH17">
        <v>2</v>
      </c>
      <c r="AI17">
        <v>80890131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5">
      <c r="A18">
        <f>ROW(Source!A45)</f>
        <v>45</v>
      </c>
      <c r="B18">
        <v>80890132</v>
      </c>
      <c r="C18">
        <v>80889931</v>
      </c>
      <c r="D18">
        <v>80199986</v>
      </c>
      <c r="E18">
        <v>15514512</v>
      </c>
      <c r="F18">
        <v>1</v>
      </c>
      <c r="G18">
        <v>15514512</v>
      </c>
      <c r="H18">
        <v>1</v>
      </c>
      <c r="I18" t="s">
        <v>285</v>
      </c>
      <c r="J18" t="s">
        <v>3</v>
      </c>
      <c r="K18" t="s">
        <v>286</v>
      </c>
      <c r="L18">
        <v>1191</v>
      </c>
      <c r="N18">
        <v>1013</v>
      </c>
      <c r="O18" t="s">
        <v>287</v>
      </c>
      <c r="P18" t="s">
        <v>287</v>
      </c>
      <c r="Q18">
        <v>1</v>
      </c>
      <c r="X18">
        <v>2.81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22</v>
      </c>
      <c r="AG18">
        <v>154.55000000000001</v>
      </c>
      <c r="AH18">
        <v>2</v>
      </c>
      <c r="AI18">
        <v>80890132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5">
      <c r="A19">
        <f>ROW(Source!A46)</f>
        <v>46</v>
      </c>
      <c r="B19">
        <v>80890133</v>
      </c>
      <c r="C19">
        <v>80889932</v>
      </c>
      <c r="D19">
        <v>80199986</v>
      </c>
      <c r="E19">
        <v>15514512</v>
      </c>
      <c r="F19">
        <v>1</v>
      </c>
      <c r="G19">
        <v>15514512</v>
      </c>
      <c r="H19">
        <v>1</v>
      </c>
      <c r="I19" t="s">
        <v>285</v>
      </c>
      <c r="J19" t="s">
        <v>3</v>
      </c>
      <c r="K19" t="s">
        <v>286</v>
      </c>
      <c r="L19">
        <v>1191</v>
      </c>
      <c r="N19">
        <v>1013</v>
      </c>
      <c r="O19" t="s">
        <v>287</v>
      </c>
      <c r="P19" t="s">
        <v>287</v>
      </c>
      <c r="Q19">
        <v>1</v>
      </c>
      <c r="X19">
        <v>2.41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1</v>
      </c>
      <c r="AF19" t="s">
        <v>90</v>
      </c>
      <c r="AG19">
        <v>388.01000000000005</v>
      </c>
      <c r="AH19">
        <v>2</v>
      </c>
      <c r="AI19">
        <v>80890133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5">
      <c r="A20">
        <f>ROW(Source!A46)</f>
        <v>46</v>
      </c>
      <c r="B20">
        <v>80890134</v>
      </c>
      <c r="C20">
        <v>80889932</v>
      </c>
      <c r="D20">
        <v>80215860</v>
      </c>
      <c r="E20">
        <v>1</v>
      </c>
      <c r="F20">
        <v>1</v>
      </c>
      <c r="G20">
        <v>15514512</v>
      </c>
      <c r="H20">
        <v>3</v>
      </c>
      <c r="I20" t="s">
        <v>300</v>
      </c>
      <c r="J20" t="s">
        <v>301</v>
      </c>
      <c r="K20" t="s">
        <v>302</v>
      </c>
      <c r="L20">
        <v>1354</v>
      </c>
      <c r="N20">
        <v>1010</v>
      </c>
      <c r="O20" t="s">
        <v>303</v>
      </c>
      <c r="P20" t="s">
        <v>303</v>
      </c>
      <c r="Q20">
        <v>1</v>
      </c>
      <c r="X20">
        <v>100</v>
      </c>
      <c r="Y20">
        <v>2.75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90</v>
      </c>
      <c r="AG20">
        <v>16100</v>
      </c>
      <c r="AH20">
        <v>2</v>
      </c>
      <c r="AI20">
        <v>80890134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5">
      <c r="A21">
        <f>ROW(Source!A47)</f>
        <v>47</v>
      </c>
      <c r="B21">
        <v>80890135</v>
      </c>
      <c r="C21">
        <v>80889933</v>
      </c>
      <c r="D21">
        <v>80199986</v>
      </c>
      <c r="E21">
        <v>15514512</v>
      </c>
      <c r="F21">
        <v>1</v>
      </c>
      <c r="G21">
        <v>15514512</v>
      </c>
      <c r="H21">
        <v>1</v>
      </c>
      <c r="I21" t="s">
        <v>285</v>
      </c>
      <c r="J21" t="s">
        <v>3</v>
      </c>
      <c r="K21" t="s">
        <v>286</v>
      </c>
      <c r="L21">
        <v>1191</v>
      </c>
      <c r="N21">
        <v>1013</v>
      </c>
      <c r="O21" t="s">
        <v>287</v>
      </c>
      <c r="P21" t="s">
        <v>287</v>
      </c>
      <c r="Q21">
        <v>1</v>
      </c>
      <c r="X21">
        <v>12.75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95</v>
      </c>
      <c r="AG21">
        <v>63.75</v>
      </c>
      <c r="AH21">
        <v>2</v>
      </c>
      <c r="AI21">
        <v>80890135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5">
      <c r="A22">
        <f>ROW(Source!A47)</f>
        <v>47</v>
      </c>
      <c r="B22">
        <v>80890136</v>
      </c>
      <c r="C22">
        <v>80889933</v>
      </c>
      <c r="D22">
        <v>80215393</v>
      </c>
      <c r="E22">
        <v>1</v>
      </c>
      <c r="F22">
        <v>1</v>
      </c>
      <c r="G22">
        <v>15514512</v>
      </c>
      <c r="H22">
        <v>3</v>
      </c>
      <c r="I22" t="s">
        <v>304</v>
      </c>
      <c r="J22" t="s">
        <v>305</v>
      </c>
      <c r="K22" t="s">
        <v>306</v>
      </c>
      <c r="L22">
        <v>1296</v>
      </c>
      <c r="N22">
        <v>1002</v>
      </c>
      <c r="O22" t="s">
        <v>263</v>
      </c>
      <c r="P22" t="s">
        <v>263</v>
      </c>
      <c r="Q22">
        <v>1</v>
      </c>
      <c r="X22">
        <v>7.5</v>
      </c>
      <c r="Y22">
        <v>710.73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95</v>
      </c>
      <c r="AG22">
        <v>37.5</v>
      </c>
      <c r="AH22">
        <v>2</v>
      </c>
      <c r="AI22">
        <v>80890136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5">
      <c r="A23">
        <f>ROW(Source!A47)</f>
        <v>47</v>
      </c>
      <c r="B23">
        <v>80890137</v>
      </c>
      <c r="C23">
        <v>80889933</v>
      </c>
      <c r="D23">
        <v>80215470</v>
      </c>
      <c r="E23">
        <v>1</v>
      </c>
      <c r="F23">
        <v>1</v>
      </c>
      <c r="G23">
        <v>15514512</v>
      </c>
      <c r="H23">
        <v>3</v>
      </c>
      <c r="I23" t="s">
        <v>37</v>
      </c>
      <c r="J23" t="s">
        <v>40</v>
      </c>
      <c r="K23" t="s">
        <v>38</v>
      </c>
      <c r="L23">
        <v>1339</v>
      </c>
      <c r="N23">
        <v>1007</v>
      </c>
      <c r="O23" t="s">
        <v>39</v>
      </c>
      <c r="P23" t="s">
        <v>39</v>
      </c>
      <c r="Q23">
        <v>1</v>
      </c>
      <c r="X23">
        <v>1.5</v>
      </c>
      <c r="Y23">
        <v>54.81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95</v>
      </c>
      <c r="AG23">
        <v>7.5</v>
      </c>
      <c r="AH23">
        <v>2</v>
      </c>
      <c r="AI23">
        <v>80890137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5">
      <c r="A24">
        <f>ROW(Source!A47)</f>
        <v>47</v>
      </c>
      <c r="B24">
        <v>80890138</v>
      </c>
      <c r="C24">
        <v>80889933</v>
      </c>
      <c r="D24">
        <v>80215860</v>
      </c>
      <c r="E24">
        <v>1</v>
      </c>
      <c r="F24">
        <v>1</v>
      </c>
      <c r="G24">
        <v>15514512</v>
      </c>
      <c r="H24">
        <v>3</v>
      </c>
      <c r="I24" t="s">
        <v>300</v>
      </c>
      <c r="J24" t="s">
        <v>301</v>
      </c>
      <c r="K24" t="s">
        <v>302</v>
      </c>
      <c r="L24">
        <v>1354</v>
      </c>
      <c r="N24">
        <v>1010</v>
      </c>
      <c r="O24" t="s">
        <v>303</v>
      </c>
      <c r="P24" t="s">
        <v>303</v>
      </c>
      <c r="Q24">
        <v>1</v>
      </c>
      <c r="X24">
        <v>100</v>
      </c>
      <c r="Y24">
        <v>2.75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95</v>
      </c>
      <c r="AG24">
        <v>500</v>
      </c>
      <c r="AH24">
        <v>2</v>
      </c>
      <c r="AI24">
        <v>80890138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5">
      <c r="A25">
        <f>ROW(Source!A49)</f>
        <v>49</v>
      </c>
      <c r="B25">
        <v>80890140</v>
      </c>
      <c r="C25">
        <v>80889934</v>
      </c>
      <c r="D25">
        <v>80199986</v>
      </c>
      <c r="E25">
        <v>15514512</v>
      </c>
      <c r="F25">
        <v>1</v>
      </c>
      <c r="G25">
        <v>15514512</v>
      </c>
      <c r="H25">
        <v>1</v>
      </c>
      <c r="I25" t="s">
        <v>285</v>
      </c>
      <c r="J25" t="s">
        <v>3</v>
      </c>
      <c r="K25" t="s">
        <v>286</v>
      </c>
      <c r="L25">
        <v>1191</v>
      </c>
      <c r="N25">
        <v>1013</v>
      </c>
      <c r="O25" t="s">
        <v>287</v>
      </c>
      <c r="P25" t="s">
        <v>287</v>
      </c>
      <c r="Q25">
        <v>1</v>
      </c>
      <c r="X25">
        <v>0.23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3</v>
      </c>
      <c r="AG25">
        <v>0.23</v>
      </c>
      <c r="AH25">
        <v>2</v>
      </c>
      <c r="AI25">
        <v>80890140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5">
      <c r="A26">
        <f>ROW(Source!A50)</f>
        <v>50</v>
      </c>
      <c r="B26">
        <v>80890141</v>
      </c>
      <c r="C26">
        <v>80889935</v>
      </c>
      <c r="D26">
        <v>80199986</v>
      </c>
      <c r="E26">
        <v>15514512</v>
      </c>
      <c r="F26">
        <v>1</v>
      </c>
      <c r="G26">
        <v>15514512</v>
      </c>
      <c r="H26">
        <v>1</v>
      </c>
      <c r="I26" t="s">
        <v>285</v>
      </c>
      <c r="J26" t="s">
        <v>3</v>
      </c>
      <c r="K26" t="s">
        <v>286</v>
      </c>
      <c r="L26">
        <v>1191</v>
      </c>
      <c r="N26">
        <v>1013</v>
      </c>
      <c r="O26" t="s">
        <v>287</v>
      </c>
      <c r="P26" t="s">
        <v>287</v>
      </c>
      <c r="Q26">
        <v>1</v>
      </c>
      <c r="X26">
        <v>3.09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105</v>
      </c>
      <c r="AG26">
        <v>512.93999999999994</v>
      </c>
      <c r="AH26">
        <v>2</v>
      </c>
      <c r="AI26">
        <v>80890141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5">
      <c r="A27">
        <f>ROW(Source!A86)</f>
        <v>86</v>
      </c>
      <c r="B27">
        <v>80890142</v>
      </c>
      <c r="C27">
        <v>80889994</v>
      </c>
      <c r="D27">
        <v>80213221</v>
      </c>
      <c r="E27">
        <v>1</v>
      </c>
      <c r="F27">
        <v>1</v>
      </c>
      <c r="G27">
        <v>15514512</v>
      </c>
      <c r="H27">
        <v>2</v>
      </c>
      <c r="I27" t="s">
        <v>288</v>
      </c>
      <c r="J27" t="s">
        <v>289</v>
      </c>
      <c r="K27" t="s">
        <v>290</v>
      </c>
      <c r="L27">
        <v>1368</v>
      </c>
      <c r="N27">
        <v>1011</v>
      </c>
      <c r="O27" t="s">
        <v>284</v>
      </c>
      <c r="P27" t="s">
        <v>284</v>
      </c>
      <c r="Q27">
        <v>1</v>
      </c>
      <c r="X27">
        <v>0.26</v>
      </c>
      <c r="Y27">
        <v>0</v>
      </c>
      <c r="Z27">
        <v>1783.28</v>
      </c>
      <c r="AA27">
        <v>842.87</v>
      </c>
      <c r="AB27">
        <v>0</v>
      </c>
      <c r="AC27">
        <v>0</v>
      </c>
      <c r="AD27">
        <v>1</v>
      </c>
      <c r="AE27">
        <v>0</v>
      </c>
      <c r="AF27" t="s">
        <v>161</v>
      </c>
      <c r="AG27">
        <v>44.46</v>
      </c>
      <c r="AH27">
        <v>2</v>
      </c>
      <c r="AI27">
        <v>80890142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5">
      <c r="A28">
        <f>ROW(Source!A86)</f>
        <v>86</v>
      </c>
      <c r="B28">
        <v>80890143</v>
      </c>
      <c r="C28">
        <v>80889994</v>
      </c>
      <c r="D28">
        <v>80215470</v>
      </c>
      <c r="E28">
        <v>1</v>
      </c>
      <c r="F28">
        <v>1</v>
      </c>
      <c r="G28">
        <v>15514512</v>
      </c>
      <c r="H28">
        <v>3</v>
      </c>
      <c r="I28" t="s">
        <v>37</v>
      </c>
      <c r="J28" t="s">
        <v>40</v>
      </c>
      <c r="K28" t="s">
        <v>38</v>
      </c>
      <c r="L28">
        <v>1339</v>
      </c>
      <c r="N28">
        <v>1007</v>
      </c>
      <c r="O28" t="s">
        <v>39</v>
      </c>
      <c r="P28" t="s">
        <v>39</v>
      </c>
      <c r="Q28">
        <v>1</v>
      </c>
      <c r="X28">
        <v>0.2</v>
      </c>
      <c r="Y28">
        <v>54.81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161</v>
      </c>
      <c r="AG28">
        <v>34.200000000000003</v>
      </c>
      <c r="AH28">
        <v>2</v>
      </c>
      <c r="AI28">
        <v>80890143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5">
      <c r="A29">
        <f>ROW(Source!A88)</f>
        <v>88</v>
      </c>
      <c r="B29">
        <v>80890145</v>
      </c>
      <c r="C29">
        <v>80889995</v>
      </c>
      <c r="D29">
        <v>80199986</v>
      </c>
      <c r="E29">
        <v>15514512</v>
      </c>
      <c r="F29">
        <v>1</v>
      </c>
      <c r="G29">
        <v>15514512</v>
      </c>
      <c r="H29">
        <v>1</v>
      </c>
      <c r="I29" t="s">
        <v>285</v>
      </c>
      <c r="J29" t="s">
        <v>3</v>
      </c>
      <c r="K29" t="s">
        <v>286</v>
      </c>
      <c r="L29">
        <v>1191</v>
      </c>
      <c r="N29">
        <v>1013</v>
      </c>
      <c r="O29" t="s">
        <v>287</v>
      </c>
      <c r="P29" t="s">
        <v>287</v>
      </c>
      <c r="Q29">
        <v>1</v>
      </c>
      <c r="X29">
        <v>0.14000000000000001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161</v>
      </c>
      <c r="AG29">
        <v>23.94</v>
      </c>
      <c r="AH29">
        <v>2</v>
      </c>
      <c r="AI29">
        <v>80890145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5">
      <c r="A30">
        <f>ROW(Source!A89)</f>
        <v>89</v>
      </c>
      <c r="B30">
        <v>80890146</v>
      </c>
      <c r="C30">
        <v>80889996</v>
      </c>
      <c r="D30">
        <v>80199986</v>
      </c>
      <c r="E30">
        <v>15514512</v>
      </c>
      <c r="F30">
        <v>1</v>
      </c>
      <c r="G30">
        <v>15514512</v>
      </c>
      <c r="H30">
        <v>1</v>
      </c>
      <c r="I30" t="s">
        <v>285</v>
      </c>
      <c r="J30" t="s">
        <v>3</v>
      </c>
      <c r="K30" t="s">
        <v>286</v>
      </c>
      <c r="L30">
        <v>1191</v>
      </c>
      <c r="N30">
        <v>1013</v>
      </c>
      <c r="O30" t="s">
        <v>287</v>
      </c>
      <c r="P30" t="s">
        <v>287</v>
      </c>
      <c r="Q30">
        <v>1</v>
      </c>
      <c r="X30">
        <v>0.24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1</v>
      </c>
      <c r="AF30" t="s">
        <v>161</v>
      </c>
      <c r="AG30">
        <v>41.04</v>
      </c>
      <c r="AH30">
        <v>2</v>
      </c>
      <c r="AI30">
        <v>80890146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5">
      <c r="A31">
        <f>ROW(Source!A90)</f>
        <v>90</v>
      </c>
      <c r="B31">
        <v>80890147</v>
      </c>
      <c r="C31">
        <v>80889997</v>
      </c>
      <c r="D31">
        <v>80199986</v>
      </c>
      <c r="E31">
        <v>15514512</v>
      </c>
      <c r="F31">
        <v>1</v>
      </c>
      <c r="G31">
        <v>15514512</v>
      </c>
      <c r="H31">
        <v>1</v>
      </c>
      <c r="I31" t="s">
        <v>285</v>
      </c>
      <c r="J31" t="s">
        <v>3</v>
      </c>
      <c r="K31" t="s">
        <v>286</v>
      </c>
      <c r="L31">
        <v>1191</v>
      </c>
      <c r="N31">
        <v>1013</v>
      </c>
      <c r="O31" t="s">
        <v>287</v>
      </c>
      <c r="P31" t="s">
        <v>287</v>
      </c>
      <c r="Q31">
        <v>1</v>
      </c>
      <c r="X31">
        <v>0.23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161</v>
      </c>
      <c r="AG31">
        <v>39.33</v>
      </c>
      <c r="AH31">
        <v>2</v>
      </c>
      <c r="AI31">
        <v>80890147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5">
      <c r="A32">
        <f>ROW(Source!A90)</f>
        <v>90</v>
      </c>
      <c r="B32">
        <v>80890148</v>
      </c>
      <c r="C32">
        <v>80889997</v>
      </c>
      <c r="D32">
        <v>80215860</v>
      </c>
      <c r="E32">
        <v>1</v>
      </c>
      <c r="F32">
        <v>1</v>
      </c>
      <c r="G32">
        <v>15514512</v>
      </c>
      <c r="H32">
        <v>3</v>
      </c>
      <c r="I32" t="s">
        <v>300</v>
      </c>
      <c r="J32" t="s">
        <v>301</v>
      </c>
      <c r="K32" t="s">
        <v>302</v>
      </c>
      <c r="L32">
        <v>1354</v>
      </c>
      <c r="N32">
        <v>1010</v>
      </c>
      <c r="O32" t="s">
        <v>303</v>
      </c>
      <c r="P32" t="s">
        <v>303</v>
      </c>
      <c r="Q32">
        <v>1</v>
      </c>
      <c r="X32">
        <v>1</v>
      </c>
      <c r="Y32">
        <v>2.75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161</v>
      </c>
      <c r="AG32">
        <v>171</v>
      </c>
      <c r="AH32">
        <v>2</v>
      </c>
      <c r="AI32">
        <v>80890148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5">
      <c r="A33">
        <f>ROW(Source!A91)</f>
        <v>91</v>
      </c>
      <c r="B33">
        <v>80890149</v>
      </c>
      <c r="C33">
        <v>80889998</v>
      </c>
      <c r="D33">
        <v>80213221</v>
      </c>
      <c r="E33">
        <v>1</v>
      </c>
      <c r="F33">
        <v>1</v>
      </c>
      <c r="G33">
        <v>15514512</v>
      </c>
      <c r="H33">
        <v>2</v>
      </c>
      <c r="I33" t="s">
        <v>288</v>
      </c>
      <c r="J33" t="s">
        <v>289</v>
      </c>
      <c r="K33" t="s">
        <v>290</v>
      </c>
      <c r="L33">
        <v>1368</v>
      </c>
      <c r="N33">
        <v>1011</v>
      </c>
      <c r="O33" t="s">
        <v>284</v>
      </c>
      <c r="P33" t="s">
        <v>284</v>
      </c>
      <c r="Q33">
        <v>1</v>
      </c>
      <c r="X33">
        <v>0.42</v>
      </c>
      <c r="Y33">
        <v>0</v>
      </c>
      <c r="Z33">
        <v>1783.28</v>
      </c>
      <c r="AA33">
        <v>842.87</v>
      </c>
      <c r="AB33">
        <v>0</v>
      </c>
      <c r="AC33">
        <v>0</v>
      </c>
      <c r="AD33">
        <v>1</v>
      </c>
      <c r="AE33">
        <v>0</v>
      </c>
      <c r="AF33" t="s">
        <v>172</v>
      </c>
      <c r="AG33">
        <v>7.9799999999999995</v>
      </c>
      <c r="AH33">
        <v>2</v>
      </c>
      <c r="AI33">
        <v>80890149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5">
      <c r="A34">
        <f>ROW(Source!A91)</f>
        <v>91</v>
      </c>
      <c r="B34">
        <v>80890150</v>
      </c>
      <c r="C34">
        <v>80889998</v>
      </c>
      <c r="D34">
        <v>80215470</v>
      </c>
      <c r="E34">
        <v>1</v>
      </c>
      <c r="F34">
        <v>1</v>
      </c>
      <c r="G34">
        <v>15514512</v>
      </c>
      <c r="H34">
        <v>3</v>
      </c>
      <c r="I34" t="s">
        <v>37</v>
      </c>
      <c r="J34" t="s">
        <v>40</v>
      </c>
      <c r="K34" t="s">
        <v>38</v>
      </c>
      <c r="L34">
        <v>1339</v>
      </c>
      <c r="N34">
        <v>1007</v>
      </c>
      <c r="O34" t="s">
        <v>39</v>
      </c>
      <c r="P34" t="s">
        <v>39</v>
      </c>
      <c r="Q34">
        <v>1</v>
      </c>
      <c r="X34">
        <v>0.35</v>
      </c>
      <c r="Y34">
        <v>54.81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172</v>
      </c>
      <c r="AG34">
        <v>6.6499999999999995</v>
      </c>
      <c r="AH34">
        <v>2</v>
      </c>
      <c r="AI34">
        <v>80890150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5">
      <c r="A35">
        <f>ROW(Source!A93)</f>
        <v>93</v>
      </c>
      <c r="B35">
        <v>80890152</v>
      </c>
      <c r="C35">
        <v>80889999</v>
      </c>
      <c r="D35">
        <v>80213221</v>
      </c>
      <c r="E35">
        <v>1</v>
      </c>
      <c r="F35">
        <v>1</v>
      </c>
      <c r="G35">
        <v>15514512</v>
      </c>
      <c r="H35">
        <v>2</v>
      </c>
      <c r="I35" t="s">
        <v>288</v>
      </c>
      <c r="J35" t="s">
        <v>289</v>
      </c>
      <c r="K35" t="s">
        <v>290</v>
      </c>
      <c r="L35">
        <v>1368</v>
      </c>
      <c r="N35">
        <v>1011</v>
      </c>
      <c r="O35" t="s">
        <v>284</v>
      </c>
      <c r="P35" t="s">
        <v>284</v>
      </c>
      <c r="Q35">
        <v>1</v>
      </c>
      <c r="X35">
        <v>0.66</v>
      </c>
      <c r="Y35">
        <v>0</v>
      </c>
      <c r="Z35">
        <v>1783.28</v>
      </c>
      <c r="AA35">
        <v>842.87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0.66</v>
      </c>
      <c r="AH35">
        <v>2</v>
      </c>
      <c r="AI35">
        <v>80890152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5">
      <c r="A36">
        <f>ROW(Source!A93)</f>
        <v>93</v>
      </c>
      <c r="B36">
        <v>80890153</v>
      </c>
      <c r="C36">
        <v>80889999</v>
      </c>
      <c r="D36">
        <v>80215394</v>
      </c>
      <c r="E36">
        <v>1</v>
      </c>
      <c r="F36">
        <v>1</v>
      </c>
      <c r="G36">
        <v>15514512</v>
      </c>
      <c r="H36">
        <v>3</v>
      </c>
      <c r="I36" t="s">
        <v>307</v>
      </c>
      <c r="J36" t="s">
        <v>308</v>
      </c>
      <c r="K36" t="s">
        <v>309</v>
      </c>
      <c r="L36">
        <v>1296</v>
      </c>
      <c r="N36">
        <v>1002</v>
      </c>
      <c r="O36" t="s">
        <v>263</v>
      </c>
      <c r="P36" t="s">
        <v>263</v>
      </c>
      <c r="Q36">
        <v>1</v>
      </c>
      <c r="X36">
        <v>1.1200000000000001</v>
      </c>
      <c r="Y36">
        <v>256.36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1.1200000000000001</v>
      </c>
      <c r="AH36">
        <v>2</v>
      </c>
      <c r="AI36">
        <v>80890153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5">
      <c r="A37">
        <f>ROW(Source!A93)</f>
        <v>93</v>
      </c>
      <c r="B37">
        <v>80890154</v>
      </c>
      <c r="C37">
        <v>80889999</v>
      </c>
      <c r="D37">
        <v>80215470</v>
      </c>
      <c r="E37">
        <v>1</v>
      </c>
      <c r="F37">
        <v>1</v>
      </c>
      <c r="G37">
        <v>15514512</v>
      </c>
      <c r="H37">
        <v>3</v>
      </c>
      <c r="I37" t="s">
        <v>37</v>
      </c>
      <c r="J37" t="s">
        <v>40</v>
      </c>
      <c r="K37" t="s">
        <v>38</v>
      </c>
      <c r="L37">
        <v>1339</v>
      </c>
      <c r="N37">
        <v>1007</v>
      </c>
      <c r="O37" t="s">
        <v>39</v>
      </c>
      <c r="P37" t="s">
        <v>39</v>
      </c>
      <c r="Q37">
        <v>1</v>
      </c>
      <c r="X37">
        <v>1.1200000000000001</v>
      </c>
      <c r="Y37">
        <v>54.81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1.1200000000000001</v>
      </c>
      <c r="AH37">
        <v>2</v>
      </c>
      <c r="AI37">
        <v>80890154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5">
      <c r="A38">
        <f>ROW(Source!A95)</f>
        <v>95</v>
      </c>
      <c r="B38">
        <v>80890156</v>
      </c>
      <c r="C38">
        <v>80890000</v>
      </c>
      <c r="D38">
        <v>80199986</v>
      </c>
      <c r="E38">
        <v>15514512</v>
      </c>
      <c r="F38">
        <v>1</v>
      </c>
      <c r="G38">
        <v>15514512</v>
      </c>
      <c r="H38">
        <v>1</v>
      </c>
      <c r="I38" t="s">
        <v>285</v>
      </c>
      <c r="J38" t="s">
        <v>3</v>
      </c>
      <c r="K38" t="s">
        <v>286</v>
      </c>
      <c r="L38">
        <v>1191</v>
      </c>
      <c r="N38">
        <v>1013</v>
      </c>
      <c r="O38" t="s">
        <v>287</v>
      </c>
      <c r="P38" t="s">
        <v>287</v>
      </c>
      <c r="Q38">
        <v>1</v>
      </c>
      <c r="X38">
        <v>5.25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181</v>
      </c>
      <c r="AG38">
        <v>147</v>
      </c>
      <c r="AH38">
        <v>2</v>
      </c>
      <c r="AI38">
        <v>80890156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5">
      <c r="A39">
        <f>ROW(Source!A95)</f>
        <v>95</v>
      </c>
      <c r="B39">
        <v>80890157</v>
      </c>
      <c r="C39">
        <v>80890000</v>
      </c>
      <c r="D39">
        <v>80215377</v>
      </c>
      <c r="E39">
        <v>1</v>
      </c>
      <c r="F39">
        <v>1</v>
      </c>
      <c r="G39">
        <v>15514512</v>
      </c>
      <c r="H39">
        <v>3</v>
      </c>
      <c r="I39" t="s">
        <v>310</v>
      </c>
      <c r="J39" t="s">
        <v>311</v>
      </c>
      <c r="K39" t="s">
        <v>312</v>
      </c>
      <c r="L39">
        <v>1346</v>
      </c>
      <c r="N39">
        <v>1009</v>
      </c>
      <c r="O39" t="s">
        <v>234</v>
      </c>
      <c r="P39" t="s">
        <v>234</v>
      </c>
      <c r="Q39">
        <v>1</v>
      </c>
      <c r="X39">
        <v>0.03</v>
      </c>
      <c r="Y39">
        <v>46.9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181</v>
      </c>
      <c r="AG39">
        <v>0.84</v>
      </c>
      <c r="AH39">
        <v>2</v>
      </c>
      <c r="AI39">
        <v>80890157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5">
      <c r="A40">
        <f>ROW(Source!A95)</f>
        <v>95</v>
      </c>
      <c r="B40">
        <v>80890158</v>
      </c>
      <c r="C40">
        <v>80890000</v>
      </c>
      <c r="D40">
        <v>80215470</v>
      </c>
      <c r="E40">
        <v>1</v>
      </c>
      <c r="F40">
        <v>1</v>
      </c>
      <c r="G40">
        <v>15514512</v>
      </c>
      <c r="H40">
        <v>3</v>
      </c>
      <c r="I40" t="s">
        <v>37</v>
      </c>
      <c r="J40" t="s">
        <v>40</v>
      </c>
      <c r="K40" t="s">
        <v>38</v>
      </c>
      <c r="L40">
        <v>1339</v>
      </c>
      <c r="N40">
        <v>1007</v>
      </c>
      <c r="O40" t="s">
        <v>39</v>
      </c>
      <c r="P40" t="s">
        <v>39</v>
      </c>
      <c r="Q40">
        <v>1</v>
      </c>
      <c r="X40">
        <v>0.01</v>
      </c>
      <c r="Y40">
        <v>54.81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181</v>
      </c>
      <c r="AG40">
        <v>0.28000000000000003</v>
      </c>
      <c r="AH40">
        <v>2</v>
      </c>
      <c r="AI40">
        <v>80890158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5">
      <c r="A41">
        <f>ROW(Source!A97)</f>
        <v>97</v>
      </c>
      <c r="B41">
        <v>80890160</v>
      </c>
      <c r="C41">
        <v>80890001</v>
      </c>
      <c r="D41">
        <v>80199986</v>
      </c>
      <c r="E41">
        <v>15514512</v>
      </c>
      <c r="F41">
        <v>1</v>
      </c>
      <c r="G41">
        <v>15514512</v>
      </c>
      <c r="H41">
        <v>1</v>
      </c>
      <c r="I41" t="s">
        <v>285</v>
      </c>
      <c r="J41" t="s">
        <v>3</v>
      </c>
      <c r="K41" t="s">
        <v>286</v>
      </c>
      <c r="L41">
        <v>1191</v>
      </c>
      <c r="N41">
        <v>1013</v>
      </c>
      <c r="O41" t="s">
        <v>287</v>
      </c>
      <c r="P41" t="s">
        <v>287</v>
      </c>
      <c r="Q41">
        <v>1</v>
      </c>
      <c r="X41">
        <v>5.76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161</v>
      </c>
      <c r="AG41">
        <v>984.95999999999992</v>
      </c>
      <c r="AH41">
        <v>2</v>
      </c>
      <c r="AI41">
        <v>80890160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5">
      <c r="A42">
        <f>ROW(Source!A97)</f>
        <v>97</v>
      </c>
      <c r="B42">
        <v>80890161</v>
      </c>
      <c r="C42">
        <v>80890001</v>
      </c>
      <c r="D42">
        <v>80215377</v>
      </c>
      <c r="E42">
        <v>1</v>
      </c>
      <c r="F42">
        <v>1</v>
      </c>
      <c r="G42">
        <v>15514512</v>
      </c>
      <c r="H42">
        <v>3</v>
      </c>
      <c r="I42" t="s">
        <v>310</v>
      </c>
      <c r="J42" t="s">
        <v>311</v>
      </c>
      <c r="K42" t="s">
        <v>312</v>
      </c>
      <c r="L42">
        <v>1346</v>
      </c>
      <c r="N42">
        <v>1009</v>
      </c>
      <c r="O42" t="s">
        <v>234</v>
      </c>
      <c r="P42" t="s">
        <v>234</v>
      </c>
      <c r="Q42">
        <v>1</v>
      </c>
      <c r="X42">
        <v>0.06</v>
      </c>
      <c r="Y42">
        <v>46.9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0.06</v>
      </c>
      <c r="AH42">
        <v>2</v>
      </c>
      <c r="AI42">
        <v>80890161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5">
      <c r="A43">
        <f>ROW(Source!A97)</f>
        <v>97</v>
      </c>
      <c r="B43">
        <v>80890162</v>
      </c>
      <c r="C43">
        <v>80890001</v>
      </c>
      <c r="D43">
        <v>80215470</v>
      </c>
      <c r="E43">
        <v>1</v>
      </c>
      <c r="F43">
        <v>1</v>
      </c>
      <c r="G43">
        <v>15514512</v>
      </c>
      <c r="H43">
        <v>3</v>
      </c>
      <c r="I43" t="s">
        <v>37</v>
      </c>
      <c r="J43" t="s">
        <v>40</v>
      </c>
      <c r="K43" t="s">
        <v>38</v>
      </c>
      <c r="L43">
        <v>1339</v>
      </c>
      <c r="N43">
        <v>1007</v>
      </c>
      <c r="O43" t="s">
        <v>39</v>
      </c>
      <c r="P43" t="s">
        <v>39</v>
      </c>
      <c r="Q43">
        <v>1</v>
      </c>
      <c r="X43">
        <v>0.02</v>
      </c>
      <c r="Y43">
        <v>54.81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0.02</v>
      </c>
      <c r="AH43">
        <v>2</v>
      </c>
      <c r="AI43">
        <v>80890162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5">
      <c r="A44">
        <f>ROW(Source!A99)</f>
        <v>99</v>
      </c>
      <c r="B44">
        <v>80890172</v>
      </c>
      <c r="C44">
        <v>80890002</v>
      </c>
      <c r="D44">
        <v>80199986</v>
      </c>
      <c r="E44">
        <v>15514512</v>
      </c>
      <c r="F44">
        <v>1</v>
      </c>
      <c r="G44">
        <v>15514512</v>
      </c>
      <c r="H44">
        <v>1</v>
      </c>
      <c r="I44" t="s">
        <v>285</v>
      </c>
      <c r="J44" t="s">
        <v>3</v>
      </c>
      <c r="K44" t="s">
        <v>286</v>
      </c>
      <c r="L44">
        <v>1191</v>
      </c>
      <c r="N44">
        <v>1013</v>
      </c>
      <c r="O44" t="s">
        <v>287</v>
      </c>
      <c r="P44" t="s">
        <v>287</v>
      </c>
      <c r="Q44">
        <v>1</v>
      </c>
      <c r="X44">
        <v>2.41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187</v>
      </c>
      <c r="AG44">
        <v>448.26000000000005</v>
      </c>
      <c r="AH44">
        <v>2</v>
      </c>
      <c r="AI44">
        <v>80890172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5">
      <c r="A45">
        <f>ROW(Source!A99)</f>
        <v>99</v>
      </c>
      <c r="B45">
        <v>80890173</v>
      </c>
      <c r="C45">
        <v>80890002</v>
      </c>
      <c r="D45">
        <v>80215860</v>
      </c>
      <c r="E45">
        <v>1</v>
      </c>
      <c r="F45">
        <v>1</v>
      </c>
      <c r="G45">
        <v>15514512</v>
      </c>
      <c r="H45">
        <v>3</v>
      </c>
      <c r="I45" t="s">
        <v>300</v>
      </c>
      <c r="J45" t="s">
        <v>301</v>
      </c>
      <c r="K45" t="s">
        <v>302</v>
      </c>
      <c r="L45">
        <v>1354</v>
      </c>
      <c r="N45">
        <v>1010</v>
      </c>
      <c r="O45" t="s">
        <v>303</v>
      </c>
      <c r="P45" t="s">
        <v>303</v>
      </c>
      <c r="Q45">
        <v>1</v>
      </c>
      <c r="X45">
        <v>100</v>
      </c>
      <c r="Y45">
        <v>2.75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187</v>
      </c>
      <c r="AG45">
        <v>18600</v>
      </c>
      <c r="AH45">
        <v>2</v>
      </c>
      <c r="AI45">
        <v>80890173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5">
      <c r="A46">
        <f>ROW(Source!A100)</f>
        <v>100</v>
      </c>
      <c r="B46">
        <v>80890168</v>
      </c>
      <c r="C46">
        <v>80890003</v>
      </c>
      <c r="D46">
        <v>80199986</v>
      </c>
      <c r="E46">
        <v>15514512</v>
      </c>
      <c r="F46">
        <v>1</v>
      </c>
      <c r="G46">
        <v>15514512</v>
      </c>
      <c r="H46">
        <v>1</v>
      </c>
      <c r="I46" t="s">
        <v>285</v>
      </c>
      <c r="J46" t="s">
        <v>3</v>
      </c>
      <c r="K46" t="s">
        <v>286</v>
      </c>
      <c r="L46">
        <v>1191</v>
      </c>
      <c r="N46">
        <v>1013</v>
      </c>
      <c r="O46" t="s">
        <v>287</v>
      </c>
      <c r="P46" t="s">
        <v>287</v>
      </c>
      <c r="Q46">
        <v>1</v>
      </c>
      <c r="X46">
        <v>12.75</v>
      </c>
      <c r="Y46">
        <v>0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1</v>
      </c>
      <c r="AF46" t="s">
        <v>189</v>
      </c>
      <c r="AG46">
        <v>165.75</v>
      </c>
      <c r="AH46">
        <v>2</v>
      </c>
      <c r="AI46">
        <v>80890168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5">
      <c r="A47">
        <f>ROW(Source!A100)</f>
        <v>100</v>
      </c>
      <c r="B47">
        <v>80890169</v>
      </c>
      <c r="C47">
        <v>80890003</v>
      </c>
      <c r="D47">
        <v>80215393</v>
      </c>
      <c r="E47">
        <v>1</v>
      </c>
      <c r="F47">
        <v>1</v>
      </c>
      <c r="G47">
        <v>15514512</v>
      </c>
      <c r="H47">
        <v>3</v>
      </c>
      <c r="I47" t="s">
        <v>304</v>
      </c>
      <c r="J47" t="s">
        <v>305</v>
      </c>
      <c r="K47" t="s">
        <v>306</v>
      </c>
      <c r="L47">
        <v>1296</v>
      </c>
      <c r="N47">
        <v>1002</v>
      </c>
      <c r="O47" t="s">
        <v>263</v>
      </c>
      <c r="P47" t="s">
        <v>263</v>
      </c>
      <c r="Q47">
        <v>1</v>
      </c>
      <c r="X47">
        <v>7.5</v>
      </c>
      <c r="Y47">
        <v>710.73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189</v>
      </c>
      <c r="AG47">
        <v>97.5</v>
      </c>
      <c r="AH47">
        <v>2</v>
      </c>
      <c r="AI47">
        <v>80890169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5">
      <c r="A48">
        <f>ROW(Source!A100)</f>
        <v>100</v>
      </c>
      <c r="B48">
        <v>80890170</v>
      </c>
      <c r="C48">
        <v>80890003</v>
      </c>
      <c r="D48">
        <v>80215470</v>
      </c>
      <c r="E48">
        <v>1</v>
      </c>
      <c r="F48">
        <v>1</v>
      </c>
      <c r="G48">
        <v>15514512</v>
      </c>
      <c r="H48">
        <v>3</v>
      </c>
      <c r="I48" t="s">
        <v>37</v>
      </c>
      <c r="J48" t="s">
        <v>40</v>
      </c>
      <c r="K48" t="s">
        <v>38</v>
      </c>
      <c r="L48">
        <v>1339</v>
      </c>
      <c r="N48">
        <v>1007</v>
      </c>
      <c r="O48" t="s">
        <v>39</v>
      </c>
      <c r="P48" t="s">
        <v>39</v>
      </c>
      <c r="Q48">
        <v>1</v>
      </c>
      <c r="X48">
        <v>1.5</v>
      </c>
      <c r="Y48">
        <v>54.81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189</v>
      </c>
      <c r="AG48">
        <v>19.5</v>
      </c>
      <c r="AH48">
        <v>2</v>
      </c>
      <c r="AI48">
        <v>80890170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5">
      <c r="A49">
        <f>ROW(Source!A100)</f>
        <v>100</v>
      </c>
      <c r="B49">
        <v>80890171</v>
      </c>
      <c r="C49">
        <v>80890003</v>
      </c>
      <c r="D49">
        <v>80215860</v>
      </c>
      <c r="E49">
        <v>1</v>
      </c>
      <c r="F49">
        <v>1</v>
      </c>
      <c r="G49">
        <v>15514512</v>
      </c>
      <c r="H49">
        <v>3</v>
      </c>
      <c r="I49" t="s">
        <v>300</v>
      </c>
      <c r="J49" t="s">
        <v>301</v>
      </c>
      <c r="K49" t="s">
        <v>302</v>
      </c>
      <c r="L49">
        <v>1354</v>
      </c>
      <c r="N49">
        <v>1010</v>
      </c>
      <c r="O49" t="s">
        <v>303</v>
      </c>
      <c r="P49" t="s">
        <v>303</v>
      </c>
      <c r="Q49">
        <v>1</v>
      </c>
      <c r="X49">
        <v>100</v>
      </c>
      <c r="Y49">
        <v>2.75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189</v>
      </c>
      <c r="AG49">
        <v>1300</v>
      </c>
      <c r="AH49">
        <v>2</v>
      </c>
      <c r="AI49">
        <v>80890171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5">
      <c r="A50">
        <f>ROW(Source!A102)</f>
        <v>102</v>
      </c>
      <c r="B50">
        <v>80890175</v>
      </c>
      <c r="C50">
        <v>80890004</v>
      </c>
      <c r="D50">
        <v>80199986</v>
      </c>
      <c r="E50">
        <v>15514512</v>
      </c>
      <c r="F50">
        <v>1</v>
      </c>
      <c r="G50">
        <v>15514512</v>
      </c>
      <c r="H50">
        <v>1</v>
      </c>
      <c r="I50" t="s">
        <v>285</v>
      </c>
      <c r="J50" t="s">
        <v>3</v>
      </c>
      <c r="K50" t="s">
        <v>286</v>
      </c>
      <c r="L50">
        <v>1191</v>
      </c>
      <c r="N50">
        <v>1013</v>
      </c>
      <c r="O50" t="s">
        <v>287</v>
      </c>
      <c r="P50" t="s">
        <v>287</v>
      </c>
      <c r="Q50">
        <v>1</v>
      </c>
      <c r="X50">
        <v>0.3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196</v>
      </c>
      <c r="AG50">
        <v>59.699999999999996</v>
      </c>
      <c r="AH50">
        <v>2</v>
      </c>
      <c r="AI50">
        <v>80890175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5">
      <c r="A51">
        <f>ROW(Source!A103)</f>
        <v>103</v>
      </c>
      <c r="B51">
        <v>80890176</v>
      </c>
      <c r="C51">
        <v>80890005</v>
      </c>
      <c r="D51">
        <v>80199986</v>
      </c>
      <c r="E51">
        <v>15514512</v>
      </c>
      <c r="F51">
        <v>1</v>
      </c>
      <c r="G51">
        <v>15514512</v>
      </c>
      <c r="H51">
        <v>1</v>
      </c>
      <c r="I51" t="s">
        <v>285</v>
      </c>
      <c r="J51" t="s">
        <v>3</v>
      </c>
      <c r="K51" t="s">
        <v>286</v>
      </c>
      <c r="L51">
        <v>1191</v>
      </c>
      <c r="N51">
        <v>1013</v>
      </c>
      <c r="O51" t="s">
        <v>287</v>
      </c>
      <c r="P51" t="s">
        <v>287</v>
      </c>
      <c r="Q51">
        <v>1</v>
      </c>
      <c r="X51">
        <v>1.26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95</v>
      </c>
      <c r="AG51">
        <v>6.3</v>
      </c>
      <c r="AH51">
        <v>2</v>
      </c>
      <c r="AI51">
        <v>80890176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5">
      <c r="A52">
        <f>ROW(Source!A103)</f>
        <v>103</v>
      </c>
      <c r="B52">
        <v>80890177</v>
      </c>
      <c r="C52">
        <v>80890005</v>
      </c>
      <c r="D52">
        <v>80212965</v>
      </c>
      <c r="E52">
        <v>1</v>
      </c>
      <c r="F52">
        <v>1</v>
      </c>
      <c r="G52">
        <v>15514512</v>
      </c>
      <c r="H52">
        <v>2</v>
      </c>
      <c r="I52" t="s">
        <v>313</v>
      </c>
      <c r="J52" t="s">
        <v>314</v>
      </c>
      <c r="K52" t="s">
        <v>315</v>
      </c>
      <c r="L52">
        <v>1368</v>
      </c>
      <c r="N52">
        <v>1011</v>
      </c>
      <c r="O52" t="s">
        <v>284</v>
      </c>
      <c r="P52" t="s">
        <v>284</v>
      </c>
      <c r="Q52">
        <v>1</v>
      </c>
      <c r="X52">
        <v>0.9</v>
      </c>
      <c r="Y52">
        <v>0</v>
      </c>
      <c r="Z52">
        <v>1165.03</v>
      </c>
      <c r="AA52">
        <v>351.43</v>
      </c>
      <c r="AB52">
        <v>0</v>
      </c>
      <c r="AC52">
        <v>0</v>
      </c>
      <c r="AD52">
        <v>1</v>
      </c>
      <c r="AE52">
        <v>0</v>
      </c>
      <c r="AF52" t="s">
        <v>95</v>
      </c>
      <c r="AG52">
        <v>4.5</v>
      </c>
      <c r="AH52">
        <v>2</v>
      </c>
      <c r="AI52">
        <v>80890177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5">
      <c r="A53">
        <f>ROW(Source!A103)</f>
        <v>103</v>
      </c>
      <c r="B53">
        <v>80890178</v>
      </c>
      <c r="C53">
        <v>80890005</v>
      </c>
      <c r="D53">
        <v>80213223</v>
      </c>
      <c r="E53">
        <v>1</v>
      </c>
      <c r="F53">
        <v>1</v>
      </c>
      <c r="G53">
        <v>15514512</v>
      </c>
      <c r="H53">
        <v>2</v>
      </c>
      <c r="I53" t="s">
        <v>316</v>
      </c>
      <c r="J53" t="s">
        <v>317</v>
      </c>
      <c r="K53" t="s">
        <v>318</v>
      </c>
      <c r="L53">
        <v>1368</v>
      </c>
      <c r="N53">
        <v>1011</v>
      </c>
      <c r="O53" t="s">
        <v>284</v>
      </c>
      <c r="P53" t="s">
        <v>284</v>
      </c>
      <c r="Q53">
        <v>1</v>
      </c>
      <c r="X53">
        <v>0.99</v>
      </c>
      <c r="Y53">
        <v>0</v>
      </c>
      <c r="Z53">
        <v>1877.34</v>
      </c>
      <c r="AA53">
        <v>967.36</v>
      </c>
      <c r="AB53">
        <v>0</v>
      </c>
      <c r="AC53">
        <v>0</v>
      </c>
      <c r="AD53">
        <v>1</v>
      </c>
      <c r="AE53">
        <v>0</v>
      </c>
      <c r="AF53" t="s">
        <v>95</v>
      </c>
      <c r="AG53">
        <v>4.95</v>
      </c>
      <c r="AH53">
        <v>2</v>
      </c>
      <c r="AI53">
        <v>80890178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5">
      <c r="A54">
        <f>ROW(Source!A103)</f>
        <v>103</v>
      </c>
      <c r="B54">
        <v>80890179</v>
      </c>
      <c r="C54">
        <v>80890005</v>
      </c>
      <c r="D54">
        <v>80215470</v>
      </c>
      <c r="E54">
        <v>1</v>
      </c>
      <c r="F54">
        <v>1</v>
      </c>
      <c r="G54">
        <v>15514512</v>
      </c>
      <c r="H54">
        <v>3</v>
      </c>
      <c r="I54" t="s">
        <v>37</v>
      </c>
      <c r="J54" t="s">
        <v>40</v>
      </c>
      <c r="K54" t="s">
        <v>38</v>
      </c>
      <c r="L54">
        <v>1339</v>
      </c>
      <c r="N54">
        <v>1007</v>
      </c>
      <c r="O54" t="s">
        <v>39</v>
      </c>
      <c r="P54" t="s">
        <v>39</v>
      </c>
      <c r="Q54">
        <v>1</v>
      </c>
      <c r="X54">
        <v>0.8</v>
      </c>
      <c r="Y54">
        <v>54.81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95</v>
      </c>
      <c r="AG54">
        <v>4</v>
      </c>
      <c r="AH54">
        <v>2</v>
      </c>
      <c r="AI54">
        <v>80890179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5">
      <c r="A55">
        <f>ROW(Source!A139)</f>
        <v>139</v>
      </c>
      <c r="B55">
        <v>80890180</v>
      </c>
      <c r="C55">
        <v>80890064</v>
      </c>
      <c r="D55">
        <v>80199986</v>
      </c>
      <c r="E55">
        <v>15514512</v>
      </c>
      <c r="F55">
        <v>1</v>
      </c>
      <c r="G55">
        <v>15514512</v>
      </c>
      <c r="H55">
        <v>1</v>
      </c>
      <c r="I55" t="s">
        <v>285</v>
      </c>
      <c r="J55" t="s">
        <v>3</v>
      </c>
      <c r="K55" t="s">
        <v>286</v>
      </c>
      <c r="L55">
        <v>1191</v>
      </c>
      <c r="N55">
        <v>1013</v>
      </c>
      <c r="O55" t="s">
        <v>287</v>
      </c>
      <c r="P55" t="s">
        <v>287</v>
      </c>
      <c r="Q55">
        <v>1</v>
      </c>
      <c r="X55">
        <v>0.59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1</v>
      </c>
      <c r="AF55" t="s">
        <v>3</v>
      </c>
      <c r="AG55">
        <v>0.59</v>
      </c>
      <c r="AH55">
        <v>2</v>
      </c>
      <c r="AI55">
        <v>80890180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5">
      <c r="A56">
        <f>ROW(Source!A139)</f>
        <v>139</v>
      </c>
      <c r="B56">
        <v>80890181</v>
      </c>
      <c r="C56">
        <v>80890064</v>
      </c>
      <c r="D56">
        <v>80213222</v>
      </c>
      <c r="E56">
        <v>1</v>
      </c>
      <c r="F56">
        <v>1</v>
      </c>
      <c r="G56">
        <v>15514512</v>
      </c>
      <c r="H56">
        <v>2</v>
      </c>
      <c r="I56" t="s">
        <v>319</v>
      </c>
      <c r="J56" t="s">
        <v>320</v>
      </c>
      <c r="K56" t="s">
        <v>321</v>
      </c>
      <c r="L56">
        <v>1368</v>
      </c>
      <c r="N56">
        <v>1011</v>
      </c>
      <c r="O56" t="s">
        <v>284</v>
      </c>
      <c r="P56" t="s">
        <v>284</v>
      </c>
      <c r="Q56">
        <v>1</v>
      </c>
      <c r="X56">
        <v>0.34</v>
      </c>
      <c r="Y56">
        <v>0</v>
      </c>
      <c r="Z56">
        <v>20.7</v>
      </c>
      <c r="AA56">
        <v>0.2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0.34</v>
      </c>
      <c r="AH56">
        <v>2</v>
      </c>
      <c r="AI56">
        <v>80890181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5">
      <c r="A57">
        <f>ROW(Source!A140)</f>
        <v>140</v>
      </c>
      <c r="B57">
        <v>80890182</v>
      </c>
      <c r="C57">
        <v>80890065</v>
      </c>
      <c r="D57">
        <v>80199986</v>
      </c>
      <c r="E57">
        <v>15514512</v>
      </c>
      <c r="F57">
        <v>1</v>
      </c>
      <c r="G57">
        <v>15514512</v>
      </c>
      <c r="H57">
        <v>1</v>
      </c>
      <c r="I57" t="s">
        <v>285</v>
      </c>
      <c r="J57" t="s">
        <v>3</v>
      </c>
      <c r="K57" t="s">
        <v>286</v>
      </c>
      <c r="L57">
        <v>1191</v>
      </c>
      <c r="N57">
        <v>1013</v>
      </c>
      <c r="O57" t="s">
        <v>287</v>
      </c>
      <c r="P57" t="s">
        <v>287</v>
      </c>
      <c r="Q57">
        <v>1</v>
      </c>
      <c r="X57">
        <v>1.6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3</v>
      </c>
      <c r="AG57">
        <v>1.6</v>
      </c>
      <c r="AH57">
        <v>2</v>
      </c>
      <c r="AI57">
        <v>80890182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5">
      <c r="A58">
        <f>ROW(Source!A141)</f>
        <v>141</v>
      </c>
      <c r="B58">
        <v>80890183</v>
      </c>
      <c r="C58">
        <v>80890066</v>
      </c>
      <c r="D58">
        <v>80199986</v>
      </c>
      <c r="E58">
        <v>15514512</v>
      </c>
      <c r="F58">
        <v>1</v>
      </c>
      <c r="G58">
        <v>15514512</v>
      </c>
      <c r="H58">
        <v>1</v>
      </c>
      <c r="I58" t="s">
        <v>285</v>
      </c>
      <c r="J58" t="s">
        <v>3</v>
      </c>
      <c r="K58" t="s">
        <v>286</v>
      </c>
      <c r="L58">
        <v>1191</v>
      </c>
      <c r="N58">
        <v>1013</v>
      </c>
      <c r="O58" t="s">
        <v>287</v>
      </c>
      <c r="P58" t="s">
        <v>287</v>
      </c>
      <c r="Q58">
        <v>1</v>
      </c>
      <c r="X58">
        <v>0.48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1</v>
      </c>
      <c r="AF58" t="s">
        <v>3</v>
      </c>
      <c r="AG58">
        <v>0.48</v>
      </c>
      <c r="AH58">
        <v>2</v>
      </c>
      <c r="AI58">
        <v>80890183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5">
      <c r="A59">
        <f>ROW(Source!A141)</f>
        <v>141</v>
      </c>
      <c r="B59">
        <v>80890184</v>
      </c>
      <c r="C59">
        <v>80890066</v>
      </c>
      <c r="D59">
        <v>80213338</v>
      </c>
      <c r="E59">
        <v>1</v>
      </c>
      <c r="F59">
        <v>1</v>
      </c>
      <c r="G59">
        <v>15514512</v>
      </c>
      <c r="H59">
        <v>2</v>
      </c>
      <c r="I59" t="s">
        <v>322</v>
      </c>
      <c r="J59" t="s">
        <v>323</v>
      </c>
      <c r="K59" t="s">
        <v>324</v>
      </c>
      <c r="L59">
        <v>1368</v>
      </c>
      <c r="N59">
        <v>1011</v>
      </c>
      <c r="O59" t="s">
        <v>284</v>
      </c>
      <c r="P59" t="s">
        <v>284</v>
      </c>
      <c r="Q59">
        <v>1</v>
      </c>
      <c r="X59">
        <v>0.21</v>
      </c>
      <c r="Y59">
        <v>0</v>
      </c>
      <c r="Z59">
        <v>1650.83</v>
      </c>
      <c r="AA59">
        <v>713.72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0.21</v>
      </c>
      <c r="AH59">
        <v>2</v>
      </c>
      <c r="AI59">
        <v>80890184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5">
      <c r="A60">
        <f>ROW(Source!A141)</f>
        <v>141</v>
      </c>
      <c r="B60">
        <v>80890185</v>
      </c>
      <c r="C60">
        <v>80890066</v>
      </c>
      <c r="D60">
        <v>80215861</v>
      </c>
      <c r="E60">
        <v>1</v>
      </c>
      <c r="F60">
        <v>1</v>
      </c>
      <c r="G60">
        <v>15514512</v>
      </c>
      <c r="H60">
        <v>3</v>
      </c>
      <c r="I60" t="s">
        <v>325</v>
      </c>
      <c r="J60" t="s">
        <v>326</v>
      </c>
      <c r="K60" t="s">
        <v>327</v>
      </c>
      <c r="L60">
        <v>1354</v>
      </c>
      <c r="N60">
        <v>1010</v>
      </c>
      <c r="O60" t="s">
        <v>303</v>
      </c>
      <c r="P60" t="s">
        <v>303</v>
      </c>
      <c r="Q60">
        <v>1</v>
      </c>
      <c r="X60">
        <v>8</v>
      </c>
      <c r="Y60">
        <v>9.1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8</v>
      </c>
      <c r="AH60">
        <v>2</v>
      </c>
      <c r="AI60">
        <v>80890185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5">
      <c r="A61">
        <f>ROW(Source!A142)</f>
        <v>142</v>
      </c>
      <c r="B61">
        <v>80890186</v>
      </c>
      <c r="C61">
        <v>80890067</v>
      </c>
      <c r="D61">
        <v>80199986</v>
      </c>
      <c r="E61">
        <v>15514512</v>
      </c>
      <c r="F61">
        <v>1</v>
      </c>
      <c r="G61">
        <v>15514512</v>
      </c>
      <c r="H61">
        <v>1</v>
      </c>
      <c r="I61" t="s">
        <v>285</v>
      </c>
      <c r="J61" t="s">
        <v>3</v>
      </c>
      <c r="K61" t="s">
        <v>286</v>
      </c>
      <c r="L61">
        <v>1191</v>
      </c>
      <c r="N61">
        <v>1013</v>
      </c>
      <c r="O61" t="s">
        <v>287</v>
      </c>
      <c r="P61" t="s">
        <v>287</v>
      </c>
      <c r="Q61">
        <v>1</v>
      </c>
      <c r="X61">
        <v>0.05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1</v>
      </c>
      <c r="AF61" t="s">
        <v>196</v>
      </c>
      <c r="AG61">
        <v>9.9500000000000011</v>
      </c>
      <c r="AH61">
        <v>2</v>
      </c>
      <c r="AI61">
        <v>80890186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5">
      <c r="A62">
        <f>ROW(Source!A142)</f>
        <v>142</v>
      </c>
      <c r="B62">
        <v>80890187</v>
      </c>
      <c r="C62">
        <v>80890067</v>
      </c>
      <c r="D62">
        <v>80215861</v>
      </c>
      <c r="E62">
        <v>1</v>
      </c>
      <c r="F62">
        <v>1</v>
      </c>
      <c r="G62">
        <v>15514512</v>
      </c>
      <c r="H62">
        <v>3</v>
      </c>
      <c r="I62" t="s">
        <v>325</v>
      </c>
      <c r="J62" t="s">
        <v>326</v>
      </c>
      <c r="K62" t="s">
        <v>327</v>
      </c>
      <c r="L62">
        <v>1354</v>
      </c>
      <c r="N62">
        <v>1010</v>
      </c>
      <c r="O62" t="s">
        <v>303</v>
      </c>
      <c r="P62" t="s">
        <v>303</v>
      </c>
      <c r="Q62">
        <v>1</v>
      </c>
      <c r="X62">
        <v>0.1</v>
      </c>
      <c r="Y62">
        <v>9.1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196</v>
      </c>
      <c r="AG62">
        <v>19.900000000000002</v>
      </c>
      <c r="AH62">
        <v>2</v>
      </c>
      <c r="AI62">
        <v>80890187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5">
      <c r="A63">
        <f>ROW(Source!A143)</f>
        <v>143</v>
      </c>
      <c r="B63">
        <v>80890188</v>
      </c>
      <c r="C63">
        <v>80890068</v>
      </c>
      <c r="D63">
        <v>80199986</v>
      </c>
      <c r="E63">
        <v>15514512</v>
      </c>
      <c r="F63">
        <v>1</v>
      </c>
      <c r="G63">
        <v>15514512</v>
      </c>
      <c r="H63">
        <v>1</v>
      </c>
      <c r="I63" t="s">
        <v>285</v>
      </c>
      <c r="J63" t="s">
        <v>3</v>
      </c>
      <c r="K63" t="s">
        <v>286</v>
      </c>
      <c r="L63">
        <v>1191</v>
      </c>
      <c r="N63">
        <v>1013</v>
      </c>
      <c r="O63" t="s">
        <v>287</v>
      </c>
      <c r="P63" t="s">
        <v>287</v>
      </c>
      <c r="Q63">
        <v>1</v>
      </c>
      <c r="X63">
        <v>0.98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221</v>
      </c>
      <c r="AG63">
        <v>13.719999999999999</v>
      </c>
      <c r="AH63">
        <v>2</v>
      </c>
      <c r="AI63">
        <v>80890188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5">
      <c r="A64">
        <f>ROW(Source!A143)</f>
        <v>143</v>
      </c>
      <c r="B64">
        <v>80890189</v>
      </c>
      <c r="C64">
        <v>80890068</v>
      </c>
      <c r="D64">
        <v>80213130</v>
      </c>
      <c r="E64">
        <v>1</v>
      </c>
      <c r="F64">
        <v>1</v>
      </c>
      <c r="G64">
        <v>15514512</v>
      </c>
      <c r="H64">
        <v>2</v>
      </c>
      <c r="I64" t="s">
        <v>328</v>
      </c>
      <c r="J64" t="s">
        <v>329</v>
      </c>
      <c r="K64" t="s">
        <v>330</v>
      </c>
      <c r="L64">
        <v>1368</v>
      </c>
      <c r="N64">
        <v>1011</v>
      </c>
      <c r="O64" t="s">
        <v>284</v>
      </c>
      <c r="P64" t="s">
        <v>284</v>
      </c>
      <c r="Q64">
        <v>1</v>
      </c>
      <c r="X64">
        <v>0.75</v>
      </c>
      <c r="Y64">
        <v>0</v>
      </c>
      <c r="Z64">
        <v>32.590000000000003</v>
      </c>
      <c r="AA64">
        <v>3.28</v>
      </c>
      <c r="AB64">
        <v>0</v>
      </c>
      <c r="AC64">
        <v>0</v>
      </c>
      <c r="AD64">
        <v>1</v>
      </c>
      <c r="AE64">
        <v>0</v>
      </c>
      <c r="AF64" t="s">
        <v>221</v>
      </c>
      <c r="AG64">
        <v>10.5</v>
      </c>
      <c r="AH64">
        <v>2</v>
      </c>
      <c r="AI64">
        <v>80890189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5">
      <c r="A65">
        <f>ROW(Source!A144)</f>
        <v>144</v>
      </c>
      <c r="B65">
        <v>80890190</v>
      </c>
      <c r="C65">
        <v>80890069</v>
      </c>
      <c r="D65">
        <v>80199986</v>
      </c>
      <c r="E65">
        <v>15514512</v>
      </c>
      <c r="F65">
        <v>1</v>
      </c>
      <c r="G65">
        <v>15514512</v>
      </c>
      <c r="H65">
        <v>1</v>
      </c>
      <c r="I65" t="s">
        <v>285</v>
      </c>
      <c r="J65" t="s">
        <v>3</v>
      </c>
      <c r="K65" t="s">
        <v>286</v>
      </c>
      <c r="L65">
        <v>1191</v>
      </c>
      <c r="N65">
        <v>1013</v>
      </c>
      <c r="O65" t="s">
        <v>287</v>
      </c>
      <c r="P65" t="s">
        <v>287</v>
      </c>
      <c r="Q65">
        <v>1</v>
      </c>
      <c r="X65">
        <v>0.56000000000000005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221</v>
      </c>
      <c r="AG65">
        <v>7.8400000000000007</v>
      </c>
      <c r="AH65">
        <v>2</v>
      </c>
      <c r="AI65">
        <v>80890190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5">
      <c r="A66">
        <f>ROW(Source!A144)</f>
        <v>144</v>
      </c>
      <c r="B66">
        <v>80890191</v>
      </c>
      <c r="C66">
        <v>80890069</v>
      </c>
      <c r="D66">
        <v>80212805</v>
      </c>
      <c r="E66">
        <v>1</v>
      </c>
      <c r="F66">
        <v>1</v>
      </c>
      <c r="G66">
        <v>15514512</v>
      </c>
      <c r="H66">
        <v>2</v>
      </c>
      <c r="I66" t="s">
        <v>331</v>
      </c>
      <c r="J66" t="s">
        <v>332</v>
      </c>
      <c r="K66" t="s">
        <v>333</v>
      </c>
      <c r="L66">
        <v>1368</v>
      </c>
      <c r="N66">
        <v>1011</v>
      </c>
      <c r="O66" t="s">
        <v>284</v>
      </c>
      <c r="P66" t="s">
        <v>284</v>
      </c>
      <c r="Q66">
        <v>1</v>
      </c>
      <c r="X66">
        <v>0.3</v>
      </c>
      <c r="Y66">
        <v>0</v>
      </c>
      <c r="Z66">
        <v>2997.56</v>
      </c>
      <c r="AA66">
        <v>1034.8599999999999</v>
      </c>
      <c r="AB66">
        <v>0</v>
      </c>
      <c r="AC66">
        <v>0</v>
      </c>
      <c r="AD66">
        <v>1</v>
      </c>
      <c r="AE66">
        <v>0</v>
      </c>
      <c r="AF66" t="s">
        <v>221</v>
      </c>
      <c r="AG66">
        <v>4.2</v>
      </c>
      <c r="AH66">
        <v>2</v>
      </c>
      <c r="AI66">
        <v>80890191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5">
      <c r="A67">
        <f>ROW(Source!A144)</f>
        <v>144</v>
      </c>
      <c r="B67">
        <v>80890192</v>
      </c>
      <c r="C67">
        <v>80890069</v>
      </c>
      <c r="D67">
        <v>80215470</v>
      </c>
      <c r="E67">
        <v>1</v>
      </c>
      <c r="F67">
        <v>1</v>
      </c>
      <c r="G67">
        <v>15514512</v>
      </c>
      <c r="H67">
        <v>3</v>
      </c>
      <c r="I67" t="s">
        <v>37</v>
      </c>
      <c r="J67" t="s">
        <v>40</v>
      </c>
      <c r="K67" t="s">
        <v>38</v>
      </c>
      <c r="L67">
        <v>1339</v>
      </c>
      <c r="N67">
        <v>1007</v>
      </c>
      <c r="O67" t="s">
        <v>39</v>
      </c>
      <c r="P67" t="s">
        <v>39</v>
      </c>
      <c r="Q67">
        <v>1</v>
      </c>
      <c r="X67">
        <v>1</v>
      </c>
      <c r="Y67">
        <v>54.81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221</v>
      </c>
      <c r="AG67">
        <v>14</v>
      </c>
      <c r="AH67">
        <v>2</v>
      </c>
      <c r="AI67">
        <v>80890192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5">
      <c r="A68">
        <f>ROW(Source!A146)</f>
        <v>146</v>
      </c>
      <c r="B68">
        <v>80890194</v>
      </c>
      <c r="C68">
        <v>80890070</v>
      </c>
      <c r="D68">
        <v>80199986</v>
      </c>
      <c r="E68">
        <v>15514512</v>
      </c>
      <c r="F68">
        <v>1</v>
      </c>
      <c r="G68">
        <v>15514512</v>
      </c>
      <c r="H68">
        <v>1</v>
      </c>
      <c r="I68" t="s">
        <v>285</v>
      </c>
      <c r="J68" t="s">
        <v>3</v>
      </c>
      <c r="K68" t="s">
        <v>286</v>
      </c>
      <c r="L68">
        <v>1191</v>
      </c>
      <c r="N68">
        <v>1013</v>
      </c>
      <c r="O68" t="s">
        <v>287</v>
      </c>
      <c r="P68" t="s">
        <v>287</v>
      </c>
      <c r="Q68">
        <v>1</v>
      </c>
      <c r="X68">
        <v>0.7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1</v>
      </c>
      <c r="AF68" t="s">
        <v>3</v>
      </c>
      <c r="AG68">
        <v>0.7</v>
      </c>
      <c r="AH68">
        <v>2</v>
      </c>
      <c r="AI68">
        <v>80890194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5">
      <c r="A69">
        <f>ROW(Source!A146)</f>
        <v>146</v>
      </c>
      <c r="B69">
        <v>80890195</v>
      </c>
      <c r="C69">
        <v>80890070</v>
      </c>
      <c r="D69">
        <v>80200071</v>
      </c>
      <c r="E69">
        <v>15514512</v>
      </c>
      <c r="F69">
        <v>1</v>
      </c>
      <c r="G69">
        <v>15514512</v>
      </c>
      <c r="H69">
        <v>3</v>
      </c>
      <c r="I69" t="s">
        <v>337</v>
      </c>
      <c r="J69" t="s">
        <v>3</v>
      </c>
      <c r="K69" t="s">
        <v>338</v>
      </c>
      <c r="L69">
        <v>1346</v>
      </c>
      <c r="N69">
        <v>1009</v>
      </c>
      <c r="O69" t="s">
        <v>234</v>
      </c>
      <c r="P69" t="s">
        <v>234</v>
      </c>
      <c r="Q69">
        <v>1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 t="s">
        <v>3</v>
      </c>
      <c r="AG69">
        <v>0</v>
      </c>
      <c r="AH69">
        <v>3</v>
      </c>
      <c r="AI69">
        <v>-1</v>
      </c>
      <c r="AJ69" t="s">
        <v>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5">
      <c r="A70">
        <f>ROW(Source!A148)</f>
        <v>148</v>
      </c>
      <c r="B70">
        <v>80890815</v>
      </c>
      <c r="C70">
        <v>80890814</v>
      </c>
      <c r="D70">
        <v>80199986</v>
      </c>
      <c r="E70">
        <v>15514512</v>
      </c>
      <c r="F70">
        <v>1</v>
      </c>
      <c r="G70">
        <v>15514512</v>
      </c>
      <c r="H70">
        <v>1</v>
      </c>
      <c r="I70" t="s">
        <v>285</v>
      </c>
      <c r="J70" t="s">
        <v>3</v>
      </c>
      <c r="K70" t="s">
        <v>286</v>
      </c>
      <c r="L70">
        <v>1191</v>
      </c>
      <c r="N70">
        <v>1013</v>
      </c>
      <c r="O70" t="s">
        <v>287</v>
      </c>
      <c r="P70" t="s">
        <v>287</v>
      </c>
      <c r="Q70">
        <v>1</v>
      </c>
      <c r="X70">
        <v>1.58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1</v>
      </c>
      <c r="AF70" t="s">
        <v>241</v>
      </c>
      <c r="AG70">
        <v>9.48</v>
      </c>
      <c r="AH70">
        <v>2</v>
      </c>
      <c r="AI70">
        <v>80890815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5">
      <c r="A71">
        <f>ROW(Source!A148)</f>
        <v>148</v>
      </c>
      <c r="B71">
        <v>80890816</v>
      </c>
      <c r="C71">
        <v>80890814</v>
      </c>
      <c r="D71">
        <v>80215860</v>
      </c>
      <c r="E71">
        <v>1</v>
      </c>
      <c r="F71">
        <v>1</v>
      </c>
      <c r="G71">
        <v>15514512</v>
      </c>
      <c r="H71">
        <v>3</v>
      </c>
      <c r="I71" t="s">
        <v>300</v>
      </c>
      <c r="J71" t="s">
        <v>301</v>
      </c>
      <c r="K71" t="s">
        <v>302</v>
      </c>
      <c r="L71">
        <v>1354</v>
      </c>
      <c r="N71">
        <v>1010</v>
      </c>
      <c r="O71" t="s">
        <v>303</v>
      </c>
      <c r="P71" t="s">
        <v>303</v>
      </c>
      <c r="Q71">
        <v>1</v>
      </c>
      <c r="X71">
        <v>0.5</v>
      </c>
      <c r="Y71">
        <v>2.75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241</v>
      </c>
      <c r="AG71">
        <v>3</v>
      </c>
      <c r="AH71">
        <v>2</v>
      </c>
      <c r="AI71">
        <v>80890816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5">
      <c r="A72">
        <f>ROW(Source!A149)</f>
        <v>149</v>
      </c>
      <c r="B72">
        <v>80890821</v>
      </c>
      <c r="C72">
        <v>80890817</v>
      </c>
      <c r="D72">
        <v>80199986</v>
      </c>
      <c r="E72">
        <v>15514512</v>
      </c>
      <c r="F72">
        <v>1</v>
      </c>
      <c r="G72">
        <v>15514512</v>
      </c>
      <c r="H72">
        <v>1</v>
      </c>
      <c r="I72" t="s">
        <v>285</v>
      </c>
      <c r="J72" t="s">
        <v>3</v>
      </c>
      <c r="K72" t="s">
        <v>286</v>
      </c>
      <c r="L72">
        <v>1191</v>
      </c>
      <c r="N72">
        <v>1013</v>
      </c>
      <c r="O72" t="s">
        <v>287</v>
      </c>
      <c r="P72" t="s">
        <v>287</v>
      </c>
      <c r="Q72">
        <v>1</v>
      </c>
      <c r="X72">
        <v>0.56000000000000005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181</v>
      </c>
      <c r="AG72">
        <v>15.680000000000001</v>
      </c>
      <c r="AH72">
        <v>2</v>
      </c>
      <c r="AI72">
        <v>80890818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5">
      <c r="A73">
        <f>ROW(Source!A149)</f>
        <v>149</v>
      </c>
      <c r="B73">
        <v>80890822</v>
      </c>
      <c r="C73">
        <v>80890817</v>
      </c>
      <c r="D73">
        <v>80212805</v>
      </c>
      <c r="E73">
        <v>1</v>
      </c>
      <c r="F73">
        <v>1</v>
      </c>
      <c r="G73">
        <v>15514512</v>
      </c>
      <c r="H73">
        <v>2</v>
      </c>
      <c r="I73" t="s">
        <v>331</v>
      </c>
      <c r="J73" t="s">
        <v>332</v>
      </c>
      <c r="K73" t="s">
        <v>333</v>
      </c>
      <c r="L73">
        <v>1368</v>
      </c>
      <c r="N73">
        <v>1011</v>
      </c>
      <c r="O73" t="s">
        <v>284</v>
      </c>
      <c r="P73" t="s">
        <v>284</v>
      </c>
      <c r="Q73">
        <v>1</v>
      </c>
      <c r="X73">
        <v>0.3</v>
      </c>
      <c r="Y73">
        <v>0</v>
      </c>
      <c r="Z73">
        <v>2997.56</v>
      </c>
      <c r="AA73">
        <v>1034.8599999999999</v>
      </c>
      <c r="AB73">
        <v>0</v>
      </c>
      <c r="AC73">
        <v>0</v>
      </c>
      <c r="AD73">
        <v>1</v>
      </c>
      <c r="AE73">
        <v>0</v>
      </c>
      <c r="AF73" t="s">
        <v>181</v>
      </c>
      <c r="AG73">
        <v>8.4</v>
      </c>
      <c r="AH73">
        <v>2</v>
      </c>
      <c r="AI73">
        <v>80890819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5">
      <c r="A74">
        <f>ROW(Source!A149)</f>
        <v>149</v>
      </c>
      <c r="B74">
        <v>80890823</v>
      </c>
      <c r="C74">
        <v>80890817</v>
      </c>
      <c r="D74">
        <v>80215470</v>
      </c>
      <c r="E74">
        <v>1</v>
      </c>
      <c r="F74">
        <v>1</v>
      </c>
      <c r="G74">
        <v>15514512</v>
      </c>
      <c r="H74">
        <v>3</v>
      </c>
      <c r="I74" t="s">
        <v>37</v>
      </c>
      <c r="J74" t="s">
        <v>40</v>
      </c>
      <c r="K74" t="s">
        <v>38</v>
      </c>
      <c r="L74">
        <v>1339</v>
      </c>
      <c r="N74">
        <v>1007</v>
      </c>
      <c r="O74" t="s">
        <v>39</v>
      </c>
      <c r="P74" t="s">
        <v>39</v>
      </c>
      <c r="Q74">
        <v>1</v>
      </c>
      <c r="X74">
        <v>1</v>
      </c>
      <c r="Y74">
        <v>54.81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181</v>
      </c>
      <c r="AG74">
        <v>28</v>
      </c>
      <c r="AH74">
        <v>2</v>
      </c>
      <c r="AI74">
        <v>80890820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5">
      <c r="A75">
        <f>ROW(Source!A151)</f>
        <v>151</v>
      </c>
      <c r="B75">
        <v>80890826</v>
      </c>
      <c r="C75">
        <v>80890825</v>
      </c>
      <c r="D75">
        <v>80199986</v>
      </c>
      <c r="E75">
        <v>15514512</v>
      </c>
      <c r="F75">
        <v>1</v>
      </c>
      <c r="G75">
        <v>15514512</v>
      </c>
      <c r="H75">
        <v>1</v>
      </c>
      <c r="I75" t="s">
        <v>285</v>
      </c>
      <c r="J75" t="s">
        <v>3</v>
      </c>
      <c r="K75" t="s">
        <v>286</v>
      </c>
      <c r="L75">
        <v>1191</v>
      </c>
      <c r="N75">
        <v>1013</v>
      </c>
      <c r="O75" t="s">
        <v>287</v>
      </c>
      <c r="P75" t="s">
        <v>287</v>
      </c>
      <c r="Q75">
        <v>1</v>
      </c>
      <c r="X75">
        <v>6.59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249</v>
      </c>
      <c r="AG75">
        <v>26.36</v>
      </c>
      <c r="AH75">
        <v>2</v>
      </c>
      <c r="AI75">
        <v>80890826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5">
      <c r="A76">
        <f>ROW(Source!A152)</f>
        <v>152</v>
      </c>
      <c r="B76">
        <v>80891717</v>
      </c>
      <c r="C76">
        <v>80891715</v>
      </c>
      <c r="D76">
        <v>80199986</v>
      </c>
      <c r="E76">
        <v>15514512</v>
      </c>
      <c r="F76">
        <v>1</v>
      </c>
      <c r="G76">
        <v>15514512</v>
      </c>
      <c r="H76">
        <v>1</v>
      </c>
      <c r="I76" t="s">
        <v>285</v>
      </c>
      <c r="J76" t="s">
        <v>3</v>
      </c>
      <c r="K76" t="s">
        <v>286</v>
      </c>
      <c r="L76">
        <v>1191</v>
      </c>
      <c r="N76">
        <v>1013</v>
      </c>
      <c r="O76" t="s">
        <v>287</v>
      </c>
      <c r="P76" t="s">
        <v>287</v>
      </c>
      <c r="Q76">
        <v>1</v>
      </c>
      <c r="X76">
        <v>1.42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254</v>
      </c>
      <c r="AG76">
        <v>4.26</v>
      </c>
      <c r="AH76">
        <v>2</v>
      </c>
      <c r="AI76">
        <v>80891716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5">
      <c r="A77">
        <f>ROW(Source!A153)</f>
        <v>153</v>
      </c>
      <c r="B77">
        <v>80890842</v>
      </c>
      <c r="C77">
        <v>80890841</v>
      </c>
      <c r="D77">
        <v>80199986</v>
      </c>
      <c r="E77">
        <v>15514512</v>
      </c>
      <c r="F77">
        <v>1</v>
      </c>
      <c r="G77">
        <v>15514512</v>
      </c>
      <c r="H77">
        <v>1</v>
      </c>
      <c r="I77" t="s">
        <v>285</v>
      </c>
      <c r="J77" t="s">
        <v>3</v>
      </c>
      <c r="K77" t="s">
        <v>286</v>
      </c>
      <c r="L77">
        <v>1191</v>
      </c>
      <c r="N77">
        <v>1013</v>
      </c>
      <c r="O77" t="s">
        <v>287</v>
      </c>
      <c r="P77" t="s">
        <v>287</v>
      </c>
      <c r="Q77">
        <v>1</v>
      </c>
      <c r="X77">
        <v>0.18</v>
      </c>
      <c r="Y77">
        <v>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1</v>
      </c>
      <c r="AF77" t="s">
        <v>259</v>
      </c>
      <c r="AG77">
        <v>0.36</v>
      </c>
      <c r="AH77">
        <v>2</v>
      </c>
      <c r="AI77">
        <v>80890842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5">
      <c r="A78">
        <f>ROW(Source!A153)</f>
        <v>153</v>
      </c>
      <c r="B78">
        <v>80890843</v>
      </c>
      <c r="C78">
        <v>80890841</v>
      </c>
      <c r="D78">
        <v>80213250</v>
      </c>
      <c r="E78">
        <v>1</v>
      </c>
      <c r="F78">
        <v>1</v>
      </c>
      <c r="G78">
        <v>15514512</v>
      </c>
      <c r="H78">
        <v>2</v>
      </c>
      <c r="I78" t="s">
        <v>334</v>
      </c>
      <c r="J78" t="s">
        <v>335</v>
      </c>
      <c r="K78" t="s">
        <v>336</v>
      </c>
      <c r="L78">
        <v>1368</v>
      </c>
      <c r="N78">
        <v>1011</v>
      </c>
      <c r="O78" t="s">
        <v>284</v>
      </c>
      <c r="P78" t="s">
        <v>284</v>
      </c>
      <c r="Q78">
        <v>1</v>
      </c>
      <c r="X78">
        <v>0.09</v>
      </c>
      <c r="Y78">
        <v>0</v>
      </c>
      <c r="Z78">
        <v>218.95</v>
      </c>
      <c r="AA78">
        <v>0.48</v>
      </c>
      <c r="AB78">
        <v>0</v>
      </c>
      <c r="AC78">
        <v>0</v>
      </c>
      <c r="AD78">
        <v>1</v>
      </c>
      <c r="AE78">
        <v>0</v>
      </c>
      <c r="AF78" t="s">
        <v>259</v>
      </c>
      <c r="AG78">
        <v>0.18</v>
      </c>
      <c r="AH78">
        <v>2</v>
      </c>
      <c r="AI78">
        <v>80890843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5">
      <c r="A79">
        <f>ROW(Source!A153)</f>
        <v>153</v>
      </c>
      <c r="B79">
        <v>80890844</v>
      </c>
      <c r="C79">
        <v>80890841</v>
      </c>
      <c r="D79">
        <v>80215470</v>
      </c>
      <c r="E79">
        <v>1</v>
      </c>
      <c r="F79">
        <v>1</v>
      </c>
      <c r="G79">
        <v>15514512</v>
      </c>
      <c r="H79">
        <v>3</v>
      </c>
      <c r="I79" t="s">
        <v>37</v>
      </c>
      <c r="J79" t="s">
        <v>40</v>
      </c>
      <c r="K79" t="s">
        <v>38</v>
      </c>
      <c r="L79">
        <v>1339</v>
      </c>
      <c r="N79">
        <v>1007</v>
      </c>
      <c r="O79" t="s">
        <v>39</v>
      </c>
      <c r="P79" t="s">
        <v>39</v>
      </c>
      <c r="Q79">
        <v>1</v>
      </c>
      <c r="X79">
        <v>0.01</v>
      </c>
      <c r="Y79">
        <v>54.81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259</v>
      </c>
      <c r="AG79">
        <v>0.02</v>
      </c>
      <c r="AH79">
        <v>2</v>
      </c>
      <c r="AI79">
        <v>80890844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5">
      <c r="A80">
        <f>ROW(Source!A153)</f>
        <v>153</v>
      </c>
      <c r="B80">
        <v>80890845</v>
      </c>
      <c r="C80">
        <v>80890841</v>
      </c>
      <c r="D80">
        <v>80200065</v>
      </c>
      <c r="E80">
        <v>15514512</v>
      </c>
      <c r="F80">
        <v>1</v>
      </c>
      <c r="G80">
        <v>15514512</v>
      </c>
      <c r="H80">
        <v>3</v>
      </c>
      <c r="I80" t="s">
        <v>339</v>
      </c>
      <c r="J80" t="s">
        <v>3</v>
      </c>
      <c r="K80" t="s">
        <v>340</v>
      </c>
      <c r="L80">
        <v>1296</v>
      </c>
      <c r="N80">
        <v>1002</v>
      </c>
      <c r="O80" t="s">
        <v>263</v>
      </c>
      <c r="P80" t="s">
        <v>263</v>
      </c>
      <c r="Q80">
        <v>1</v>
      </c>
      <c r="X80">
        <v>0.1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 t="s">
        <v>259</v>
      </c>
      <c r="AG80">
        <v>0.2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5">
      <c r="A81">
        <f>ROW(Source!A155)</f>
        <v>155</v>
      </c>
      <c r="B81">
        <v>80890875</v>
      </c>
      <c r="C81">
        <v>80890873</v>
      </c>
      <c r="D81">
        <v>80199986</v>
      </c>
      <c r="E81">
        <v>15514512</v>
      </c>
      <c r="F81">
        <v>1</v>
      </c>
      <c r="G81">
        <v>15514512</v>
      </c>
      <c r="H81">
        <v>1</v>
      </c>
      <c r="I81" t="s">
        <v>285</v>
      </c>
      <c r="J81" t="s">
        <v>3</v>
      </c>
      <c r="K81" t="s">
        <v>286</v>
      </c>
      <c r="L81">
        <v>1191</v>
      </c>
      <c r="N81">
        <v>1013</v>
      </c>
      <c r="O81" t="s">
        <v>287</v>
      </c>
      <c r="P81" t="s">
        <v>287</v>
      </c>
      <c r="Q81">
        <v>1</v>
      </c>
      <c r="X81">
        <v>0.98</v>
      </c>
      <c r="Y81">
        <v>0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1</v>
      </c>
      <c r="AF81" t="s">
        <v>259</v>
      </c>
      <c r="AG81">
        <v>1.96</v>
      </c>
      <c r="AH81">
        <v>2</v>
      </c>
      <c r="AI81">
        <v>80890874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5">
      <c r="A82">
        <f>ROW(Source!A156)</f>
        <v>156</v>
      </c>
      <c r="B82">
        <v>80890880</v>
      </c>
      <c r="C82">
        <v>80890876</v>
      </c>
      <c r="D82">
        <v>80199986</v>
      </c>
      <c r="E82">
        <v>15514512</v>
      </c>
      <c r="F82">
        <v>1</v>
      </c>
      <c r="G82">
        <v>15514512</v>
      </c>
      <c r="H82">
        <v>1</v>
      </c>
      <c r="I82" t="s">
        <v>285</v>
      </c>
      <c r="J82" t="s">
        <v>3</v>
      </c>
      <c r="K82" t="s">
        <v>286</v>
      </c>
      <c r="L82">
        <v>1191</v>
      </c>
      <c r="N82">
        <v>1013</v>
      </c>
      <c r="O82" t="s">
        <v>287</v>
      </c>
      <c r="P82" t="s">
        <v>287</v>
      </c>
      <c r="Q82">
        <v>1</v>
      </c>
      <c r="X82">
        <v>0.56000000000000005</v>
      </c>
      <c r="Y82">
        <v>0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1</v>
      </c>
      <c r="AF82" t="s">
        <v>181</v>
      </c>
      <c r="AG82">
        <v>15.680000000000001</v>
      </c>
      <c r="AH82">
        <v>2</v>
      </c>
      <c r="AI82">
        <v>80890877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5">
      <c r="A83">
        <f>ROW(Source!A156)</f>
        <v>156</v>
      </c>
      <c r="B83">
        <v>80890881</v>
      </c>
      <c r="C83">
        <v>80890876</v>
      </c>
      <c r="D83">
        <v>80212805</v>
      </c>
      <c r="E83">
        <v>1</v>
      </c>
      <c r="F83">
        <v>1</v>
      </c>
      <c r="G83">
        <v>15514512</v>
      </c>
      <c r="H83">
        <v>2</v>
      </c>
      <c r="I83" t="s">
        <v>331</v>
      </c>
      <c r="J83" t="s">
        <v>332</v>
      </c>
      <c r="K83" t="s">
        <v>333</v>
      </c>
      <c r="L83">
        <v>1368</v>
      </c>
      <c r="N83">
        <v>1011</v>
      </c>
      <c r="O83" t="s">
        <v>284</v>
      </c>
      <c r="P83" t="s">
        <v>284</v>
      </c>
      <c r="Q83">
        <v>1</v>
      </c>
      <c r="X83">
        <v>0.3</v>
      </c>
      <c r="Y83">
        <v>0</v>
      </c>
      <c r="Z83">
        <v>2997.56</v>
      </c>
      <c r="AA83">
        <v>1034.8599999999999</v>
      </c>
      <c r="AB83">
        <v>0</v>
      </c>
      <c r="AC83">
        <v>0</v>
      </c>
      <c r="AD83">
        <v>1</v>
      </c>
      <c r="AE83">
        <v>0</v>
      </c>
      <c r="AF83" t="s">
        <v>181</v>
      </c>
      <c r="AG83">
        <v>8.4</v>
      </c>
      <c r="AH83">
        <v>2</v>
      </c>
      <c r="AI83">
        <v>80890878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5">
      <c r="A84">
        <f>ROW(Source!A156)</f>
        <v>156</v>
      </c>
      <c r="B84">
        <v>80890882</v>
      </c>
      <c r="C84">
        <v>80890876</v>
      </c>
      <c r="D84">
        <v>80215470</v>
      </c>
      <c r="E84">
        <v>1</v>
      </c>
      <c r="F84">
        <v>1</v>
      </c>
      <c r="G84">
        <v>15514512</v>
      </c>
      <c r="H84">
        <v>3</v>
      </c>
      <c r="I84" t="s">
        <v>37</v>
      </c>
      <c r="J84" t="s">
        <v>40</v>
      </c>
      <c r="K84" t="s">
        <v>38</v>
      </c>
      <c r="L84">
        <v>1339</v>
      </c>
      <c r="N84">
        <v>1007</v>
      </c>
      <c r="O84" t="s">
        <v>39</v>
      </c>
      <c r="P84" t="s">
        <v>39</v>
      </c>
      <c r="Q84">
        <v>1</v>
      </c>
      <c r="X84">
        <v>1</v>
      </c>
      <c r="Y84">
        <v>54.81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181</v>
      </c>
      <c r="AG84">
        <v>28</v>
      </c>
      <c r="AH84">
        <v>2</v>
      </c>
      <c r="AI84">
        <v>80890879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B4FA7-5777-406F-97DA-94D2AFDA1794}">
  <dimension ref="A1"/>
  <sheetViews>
    <sheetView workbookViewId="0"/>
  </sheetViews>
  <sheetFormatPr defaultColWidth="9.1796875" defaultRowHeight="12.5" x14ac:dyDescent="0.25"/>
  <cols>
    <col min="1" max="256" width="9.179687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D2296-5983-43EF-983E-316587D95361}">
  <dimension ref="A1:CY12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0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03" x14ac:dyDescent="0.25">
      <c r="F12" t="str">
        <f>Source!F12</f>
        <v>Новый объект</v>
      </c>
      <c r="G12" t="str">
        <f>Source!G12</f>
        <v>Зона 1</v>
      </c>
      <c r="AB12" t="s">
        <v>3</v>
      </c>
      <c r="AC12" t="s">
        <v>3</v>
      </c>
      <c r="AD12" t="s">
        <v>3</v>
      </c>
      <c r="AE12" t="s">
        <v>3</v>
      </c>
      <c r="AF12" t="s">
        <v>3</v>
      </c>
      <c r="AG12" t="s">
        <v>3</v>
      </c>
      <c r="AH12" t="s">
        <v>3</v>
      </c>
      <c r="AI12" t="s">
        <v>3</v>
      </c>
      <c r="AJ12">
        <v>0</v>
      </c>
      <c r="AK12" t="s">
        <v>3</v>
      </c>
      <c r="AL12" t="s">
        <v>3</v>
      </c>
      <c r="AM12" t="s">
        <v>3</v>
      </c>
      <c r="CY1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1-5,7</vt:lpstr>
      <vt:lpstr>Ведомость объемов работ</vt:lpstr>
      <vt:lpstr>Source</vt:lpstr>
      <vt:lpstr>SourceObSm</vt:lpstr>
      <vt:lpstr>SmtRes</vt:lpstr>
      <vt:lpstr>EtalonRes</vt:lpstr>
      <vt:lpstr>SrcPoprs</vt:lpstr>
      <vt:lpstr>SrcKA</vt:lpstr>
      <vt:lpstr>'Ведомость объемов работ'!Заголовки_для_печати</vt:lpstr>
      <vt:lpstr>'Смета СН-2012 по гл. 1-5,7'!Заголовки_для_печати</vt:lpstr>
      <vt:lpstr>'Ведомость объемов работ'!Область_печати</vt:lpstr>
      <vt:lpstr>'Смета СН-2012 по гл. 1-5,7'!Область_печати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2025-11-27T08:52:55Z</dcterms:created>
  <dcterms:modified xsi:type="dcterms:W3CDTF">2025-12-09T09:29:23Z</dcterms:modified>
</cp:coreProperties>
</file>